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860" windowWidth="15195" windowHeight="7410"/>
  </bookViews>
  <sheets>
    <sheet name="Прогноз" sheetId="2" r:id="rId1"/>
  </sheets>
  <definedNames>
    <definedName name="_xlnm.Print_Titles" localSheetId="0">Прогноз!$9:$10</definedName>
    <definedName name="_xlnm.Print_Area" localSheetId="0">Прогноз!$A$1:$S$48</definedName>
  </definedNames>
  <calcPr calcId="144525"/>
</workbook>
</file>

<file path=xl/calcChain.xml><?xml version="1.0" encoding="utf-8"?>
<calcChain xmlns="http://schemas.openxmlformats.org/spreadsheetml/2006/main">
  <c r="N45" i="2" l="1"/>
  <c r="H51" i="2" l="1"/>
  <c r="N34" i="2"/>
  <c r="N33" i="2" s="1"/>
  <c r="L45" i="2"/>
  <c r="L34" i="2" s="1"/>
  <c r="J45" i="2"/>
  <c r="J34" i="2" s="1"/>
  <c r="J33" i="2" s="1"/>
  <c r="G45" i="2"/>
  <c r="F45" i="2"/>
  <c r="G47" i="2"/>
  <c r="F47" i="2"/>
  <c r="L33" i="2" l="1"/>
  <c r="L51" i="2"/>
  <c r="N51" i="2"/>
  <c r="J38" i="2"/>
  <c r="H38" i="2"/>
  <c r="K38" i="2"/>
  <c r="L38" i="2"/>
  <c r="I37" i="2"/>
  <c r="I38" i="2" s="1"/>
  <c r="N38" i="2" l="1"/>
  <c r="M38" i="2"/>
  <c r="M39" i="2"/>
  <c r="K39" i="2"/>
  <c r="I39" i="2"/>
  <c r="N39" i="2"/>
  <c r="L39" i="2"/>
  <c r="J39" i="2"/>
  <c r="H27" i="2"/>
  <c r="J27" i="2" s="1"/>
  <c r="H23" i="2"/>
  <c r="J23" i="2" s="1"/>
  <c r="H19" i="2"/>
  <c r="J19" i="2" s="1"/>
  <c r="H28" i="2" l="1"/>
  <c r="I27" i="2"/>
  <c r="I28" i="2" s="1"/>
  <c r="L27" i="2"/>
  <c r="J28" i="2"/>
  <c r="H24" i="2"/>
  <c r="I23" i="2"/>
  <c r="I24" i="2" s="1"/>
  <c r="I19" i="2"/>
  <c r="I20" i="2" s="1"/>
  <c r="H20" i="2"/>
  <c r="L23" i="2"/>
  <c r="J24" i="2"/>
  <c r="L19" i="2"/>
  <c r="J20" i="2"/>
  <c r="K23" i="2" l="1"/>
  <c r="K24" i="2" s="1"/>
  <c r="K27" i="2"/>
  <c r="K28" i="2" s="1"/>
  <c r="N27" i="2"/>
  <c r="N28" i="2" s="1"/>
  <c r="L28" i="2"/>
  <c r="K19" i="2"/>
  <c r="K20" i="2" s="1"/>
  <c r="L24" i="2"/>
  <c r="N23" i="2"/>
  <c r="N24" i="2" s="1"/>
  <c r="N19" i="2"/>
  <c r="N20" i="2" s="1"/>
  <c r="L20" i="2"/>
  <c r="G32" i="2"/>
  <c r="J32" i="2"/>
  <c r="L32" i="2" s="1"/>
  <c r="N32" i="2" s="1"/>
  <c r="I32" i="2"/>
  <c r="K32" i="2" s="1"/>
  <c r="M32" i="2" s="1"/>
  <c r="H32" i="2"/>
  <c r="I31" i="2"/>
  <c r="K31" i="2" s="1"/>
  <c r="M31" i="2" s="1"/>
  <c r="H31" i="2"/>
  <c r="J31" i="2" s="1"/>
  <c r="L31" i="2" s="1"/>
  <c r="N31" i="2" s="1"/>
  <c r="M23" i="2" l="1"/>
  <c r="M24" i="2" s="1"/>
  <c r="M27" i="2"/>
  <c r="M28" i="2" s="1"/>
  <c r="M19" i="2"/>
  <c r="M20" i="2" s="1"/>
  <c r="F15" i="2"/>
  <c r="F18" i="2" s="1"/>
  <c r="G15" i="2"/>
  <c r="G18" i="2" s="1"/>
  <c r="E15" i="2"/>
  <c r="G25" i="2"/>
  <c r="F25" i="2"/>
  <c r="G24" i="2"/>
  <c r="F24" i="2"/>
  <c r="G21" i="2"/>
  <c r="F21" i="2"/>
  <c r="G20" i="2"/>
  <c r="F20" i="2"/>
  <c r="H11" i="2"/>
  <c r="I11" i="2" s="1"/>
  <c r="K11" i="2" s="1"/>
  <c r="M11" i="2" s="1"/>
  <c r="H35" i="2"/>
  <c r="I35" i="2" s="1"/>
  <c r="K35" i="2" s="1"/>
  <c r="M35" i="2" s="1"/>
  <c r="J11" i="2" l="1"/>
  <c r="L11" i="2" s="1"/>
  <c r="N11" i="2" s="1"/>
  <c r="J35" i="2"/>
  <c r="L35" i="2" s="1"/>
  <c r="N35" i="2" s="1"/>
  <c r="O36" i="2"/>
  <c r="Q36" i="2" s="1"/>
  <c r="S36" i="2" s="1"/>
  <c r="H45" i="2" l="1"/>
  <c r="H34" i="2" s="1"/>
  <c r="S37" i="2"/>
  <c r="Q37" i="2"/>
  <c r="O37" i="2"/>
  <c r="H33" i="2" l="1"/>
  <c r="J51" i="2"/>
  <c r="S43" i="2"/>
  <c r="S42" i="2"/>
  <c r="S39" i="2"/>
  <c r="Q43" i="2"/>
  <c r="Q42" i="2"/>
  <c r="Q39" i="2"/>
  <c r="O39" i="2"/>
  <c r="O27" i="2" l="1"/>
  <c r="O28" i="2" s="1"/>
  <c r="O11" i="2"/>
  <c r="I12" i="2"/>
  <c r="Q11" i="2" l="1"/>
  <c r="Q12" i="2" s="1"/>
  <c r="O13" i="2"/>
  <c r="O12" i="2"/>
  <c r="Q27" i="2"/>
  <c r="O29" i="2"/>
  <c r="Q13" i="2"/>
  <c r="G13" i="2"/>
  <c r="S11" i="2" l="1"/>
  <c r="S13" i="2" s="1"/>
  <c r="S27" i="2"/>
  <c r="Q29" i="2"/>
  <c r="Q28" i="2"/>
  <c r="S12" i="2"/>
  <c r="G12" i="2"/>
  <c r="S29" i="2" l="1"/>
  <c r="S28" i="2"/>
  <c r="H47" i="2"/>
  <c r="H4" i="2" s="1"/>
  <c r="O35" i="2"/>
  <c r="Q35" i="2" s="1"/>
  <c r="S35" i="2" s="1"/>
  <c r="P35" i="2"/>
  <c r="R35" i="2" s="1"/>
  <c r="T35" i="2" s="1"/>
  <c r="O31" i="2"/>
  <c r="Q31" i="2" s="1"/>
  <c r="S31" i="2" s="1"/>
  <c r="P11" i="2"/>
  <c r="H12" i="2"/>
  <c r="H48" i="2"/>
  <c r="I48" i="2" s="1"/>
  <c r="J48" i="2" l="1"/>
  <c r="K48" i="2"/>
  <c r="I45" i="2"/>
  <c r="I34" i="2" s="1"/>
  <c r="P31" i="2"/>
  <c r="R31" i="2" s="1"/>
  <c r="T31" i="2" s="1"/>
  <c r="P13" i="2"/>
  <c r="R11" i="2"/>
  <c r="P12" i="2"/>
  <c r="I33" i="2" l="1"/>
  <c r="I51" i="2"/>
  <c r="I47" i="2"/>
  <c r="I4" i="2" s="1"/>
  <c r="K45" i="2"/>
  <c r="K34" i="2" s="1"/>
  <c r="P33" i="2"/>
  <c r="R13" i="2"/>
  <c r="T11" i="2"/>
  <c r="R12" i="2"/>
  <c r="J12" i="2"/>
  <c r="K33" i="2" l="1"/>
  <c r="K51" i="2"/>
  <c r="K47" i="2"/>
  <c r="K4" i="2" s="1"/>
  <c r="J47" i="2"/>
  <c r="J4" i="2" s="1"/>
  <c r="O43" i="2"/>
  <c r="P34" i="2"/>
  <c r="R33" i="2"/>
  <c r="T13" i="2"/>
  <c r="T12" i="2"/>
  <c r="L47" i="2" l="1"/>
  <c r="L4" i="2" s="1"/>
  <c r="R34" i="2"/>
  <c r="T33" i="2"/>
  <c r="T34" i="2" s="1"/>
  <c r="P36" i="2"/>
  <c r="P27" i="2"/>
  <c r="M47" i="2" l="1"/>
  <c r="M4" i="2" s="1"/>
  <c r="M45" i="2"/>
  <c r="M34" i="2" s="1"/>
  <c r="O42" i="2"/>
  <c r="N47" i="2"/>
  <c r="N4" i="2" s="1"/>
  <c r="P29" i="2"/>
  <c r="R27" i="2"/>
  <c r="P28" i="2"/>
  <c r="R36" i="2"/>
  <c r="T36" i="2"/>
  <c r="M33" i="2" l="1"/>
  <c r="O33" i="2" s="1"/>
  <c r="M51" i="2"/>
  <c r="R29" i="2"/>
  <c r="T27" i="2"/>
  <c r="R28" i="2"/>
  <c r="Q33" i="2" l="1"/>
  <c r="O34" i="2"/>
  <c r="O32" i="2"/>
  <c r="Q32" i="2" s="1"/>
  <c r="S32" i="2" s="1"/>
  <c r="P32" i="2"/>
  <c r="R32" i="2" s="1"/>
  <c r="T32" i="2" s="1"/>
  <c r="T29" i="2"/>
  <c r="T28" i="2"/>
  <c r="Q34" i="2" l="1"/>
  <c r="S33" i="2"/>
  <c r="S34" i="2" s="1"/>
  <c r="L12" i="2"/>
  <c r="N12" i="2" l="1"/>
  <c r="L48" i="2" l="1"/>
  <c r="M48" i="2" l="1"/>
  <c r="G16" i="2"/>
  <c r="O48" i="2" l="1"/>
  <c r="N48" i="2"/>
  <c r="G17" i="2"/>
  <c r="Q48" i="2" l="1"/>
  <c r="P48" i="2"/>
  <c r="F17" i="2"/>
  <c r="F13" i="2"/>
  <c r="S48" i="2" l="1"/>
  <c r="T48" i="2" s="1"/>
  <c r="R48" i="2"/>
  <c r="F16" i="2"/>
  <c r="F12" i="2"/>
  <c r="F29" i="2" l="1"/>
  <c r="F28" i="2"/>
  <c r="G29" i="2" l="1"/>
  <c r="G28" i="2"/>
  <c r="K12" i="2" l="1"/>
  <c r="M12" i="2" l="1"/>
  <c r="P19" i="2"/>
  <c r="P20" i="2" s="1"/>
  <c r="O19" i="2"/>
  <c r="O20" i="2" s="1"/>
  <c r="R19" i="2" l="1"/>
  <c r="R20" i="2" s="1"/>
  <c r="O21" i="2"/>
  <c r="R21" i="2"/>
  <c r="P21" i="2"/>
  <c r="Q19" i="2"/>
  <c r="T19" i="2" l="1"/>
  <c r="T21" i="2" s="1"/>
  <c r="Q21" i="2"/>
  <c r="Q20" i="2"/>
  <c r="S19" i="2"/>
  <c r="T20" i="2"/>
  <c r="S20" i="2" l="1"/>
  <c r="S21" i="2"/>
  <c r="O23" i="2"/>
  <c r="O24" i="2" s="1"/>
  <c r="P23" i="2"/>
  <c r="P24" i="2" s="1"/>
  <c r="K15" i="2"/>
  <c r="K18" i="2" s="1"/>
  <c r="I15" i="2"/>
  <c r="H15" i="2"/>
  <c r="H16" i="2" s="1"/>
  <c r="M15" i="2"/>
  <c r="M18" i="2" s="1"/>
  <c r="L15" i="2"/>
  <c r="N15" i="2"/>
  <c r="P15" i="2" s="1"/>
  <c r="P17" i="2" s="1"/>
  <c r="J15" i="2"/>
  <c r="J18" i="2" s="1"/>
  <c r="J17" i="2" s="1"/>
  <c r="M17" i="2" l="1"/>
  <c r="K17" i="2"/>
  <c r="J16" i="2"/>
  <c r="N16" i="2"/>
  <c r="O15" i="2"/>
  <c r="O17" i="2" s="1"/>
  <c r="H18" i="2"/>
  <c r="L16" i="2"/>
  <c r="P16" i="2"/>
  <c r="K16" i="2"/>
  <c r="H17" i="2"/>
  <c r="N18" i="2"/>
  <c r="N17" i="2" s="1"/>
  <c r="O25" i="2"/>
  <c r="I16" i="2"/>
  <c r="L18" i="2"/>
  <c r="L17" i="2" s="1"/>
  <c r="P25" i="2"/>
  <c r="R15" i="2"/>
  <c r="I18" i="2"/>
  <c r="I17" i="2" s="1"/>
  <c r="M16" i="2"/>
  <c r="R23" i="2"/>
  <c r="Q23" i="2"/>
  <c r="Q15" i="2" l="1"/>
  <c r="Q17" i="2" s="1"/>
  <c r="O16" i="2"/>
  <c r="Q25" i="2"/>
  <c r="Q24" i="2"/>
  <c r="S23" i="2"/>
  <c r="R16" i="2"/>
  <c r="T15" i="2"/>
  <c r="R17" i="2"/>
  <c r="R25" i="2"/>
  <c r="R24" i="2"/>
  <c r="T23" i="2"/>
  <c r="S15" i="2" l="1"/>
  <c r="S16" i="2" s="1"/>
  <c r="Q16" i="2"/>
  <c r="T17" i="2"/>
  <c r="T16" i="2"/>
  <c r="T24" i="2"/>
  <c r="T25" i="2"/>
  <c r="S17" i="2"/>
  <c r="S24" i="2"/>
  <c r="S25" i="2"/>
</calcChain>
</file>

<file path=xl/sharedStrings.xml><?xml version="1.0" encoding="utf-8"?>
<sst xmlns="http://schemas.openxmlformats.org/spreadsheetml/2006/main" count="116" uniqueCount="66">
  <si>
    <t>№</t>
  </si>
  <si>
    <t>Показатели</t>
  </si>
  <si>
    <t>Ед.изм.</t>
  </si>
  <si>
    <t>2007 год</t>
  </si>
  <si>
    <t>факт</t>
  </si>
  <si>
    <t>оценка</t>
  </si>
  <si>
    <t>1</t>
  </si>
  <si>
    <t>Отгружено товаров собственного производства, выполнено работ, услуг собственными силами по разделам C, D, E (чистым видам экономической деятельности)  по полному кругу организаций производителей</t>
  </si>
  <si>
    <t>млн. руб. в ценах соотв. лет</t>
  </si>
  <si>
    <t xml:space="preserve">     темп роста в фактических ценах</t>
  </si>
  <si>
    <t>%</t>
  </si>
  <si>
    <t xml:space="preserve">     индекс физического объема</t>
  </si>
  <si>
    <t xml:space="preserve">    индекс-дефлятор</t>
  </si>
  <si>
    <t xml:space="preserve">     темп роста в сопоставимых ценах</t>
  </si>
  <si>
    <t xml:space="preserve">     индекс-дефлятор</t>
  </si>
  <si>
    <t>Розничный товарооборот (во всех каналах реализации)</t>
  </si>
  <si>
    <t>Инвестиции в основной капитал за счет всех источников финансирования</t>
  </si>
  <si>
    <t xml:space="preserve">    темп роста в сопоставимых ценах</t>
  </si>
  <si>
    <t>Прибыль сальдированная (прибыль за минусом убытков)</t>
  </si>
  <si>
    <t xml:space="preserve">Прибыль прибыльных организаций для целей бухгалтерского учета  </t>
  </si>
  <si>
    <t>руб.</t>
  </si>
  <si>
    <t>Среднегодовая численность населения</t>
  </si>
  <si>
    <t>тыс.чел.</t>
  </si>
  <si>
    <t>тыс. чел.</t>
  </si>
  <si>
    <t>Численность зарегистрированных безработных на конец года</t>
  </si>
  <si>
    <t>Уровень зарегистрированной безработицы от трудоспособного населения в трудоспособном возрасте</t>
  </si>
  <si>
    <t>единиц</t>
  </si>
  <si>
    <t>чел.</t>
  </si>
  <si>
    <t>млн.руб. в ценах соотв. лет</t>
  </si>
  <si>
    <t>Количество малых предприятий, в том числе микропредприятий</t>
  </si>
  <si>
    <t>2015 год</t>
  </si>
  <si>
    <t>2016 год</t>
  </si>
  <si>
    <t>Фонд оплаты труда (по крупным и средним организациям)</t>
  </si>
  <si>
    <t>Номинальная начисленная средняя заработная плата одного работника по крупным и средним организациям (в среднем за период)</t>
  </si>
  <si>
    <t>Среднесписочная численность работников предприятий (по крупным и средним организациям )</t>
  </si>
  <si>
    <t>2017 год</t>
  </si>
  <si>
    <t>2018 год</t>
  </si>
  <si>
    <t>2019 год</t>
  </si>
  <si>
    <t>Количество средних предприятий</t>
  </si>
  <si>
    <t>Среднесписочная численность работников (без внешних совместителей) по малым предприятиям (включая микропредприятия)</t>
  </si>
  <si>
    <t>Среднесписочная численность работников (без внешних совместителей) по средним предприятиям</t>
  </si>
  <si>
    <t>2020 год</t>
  </si>
  <si>
    <t>Прогноз социально-экономического развития муниципального образования</t>
  </si>
  <si>
    <t>1 вариант</t>
  </si>
  <si>
    <t>2 вариант</t>
  </si>
  <si>
    <t>Приложение к постановлению Администрации города Сарапула</t>
  </si>
  <si>
    <t>2021 год</t>
  </si>
  <si>
    <t>2022 год</t>
  </si>
  <si>
    <t>2023 год</t>
  </si>
  <si>
    <t>2024 год</t>
  </si>
  <si>
    <t>базовый</t>
  </si>
  <si>
    <t>консервативный</t>
  </si>
  <si>
    <t>Оборот розничной торговли</t>
  </si>
  <si>
    <t>2а</t>
  </si>
  <si>
    <t>2б</t>
  </si>
  <si>
    <t>Оборот общественного питания</t>
  </si>
  <si>
    <t xml:space="preserve">Оборот малых и средних предприятий, всего  </t>
  </si>
  <si>
    <t>население в трудосп.возрасте</t>
  </si>
  <si>
    <t>темп роста численности работников</t>
  </si>
  <si>
    <t>"Город Сарапул" на 2019 год и на плановый период 2020-2021 годов</t>
  </si>
  <si>
    <t>Среднесписочная численность у ИП</t>
  </si>
  <si>
    <t>Количество ИП</t>
  </si>
  <si>
    <t>Доля работников СМиСП к занятому</t>
  </si>
  <si>
    <t>Численность занятого</t>
  </si>
  <si>
    <t>Итого численность в СМиСП</t>
  </si>
  <si>
    <t>от 02.11.2018 г. №2304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</si>
</sst>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_)"/>
    <numFmt numFmtId="166" formatCode="0.000"/>
    <numFmt numFmtId="167" formatCode="0.0%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Courier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64" fontId="3" fillId="0" borderId="0" xfId="0" applyNumberFormat="1" applyFont="1" applyBorder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/>
    <xf numFmtId="0" fontId="3" fillId="2" borderId="0" xfId="0" applyFont="1" applyFill="1"/>
    <xf numFmtId="164" fontId="3" fillId="2" borderId="0" xfId="0" applyNumberFormat="1" applyFont="1" applyFill="1" applyBorder="1"/>
    <xf numFmtId="164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 applyProtection="1">
      <alignment horizontal="left" vertical="center" readingOrder="1"/>
      <protection locked="0"/>
    </xf>
    <xf numFmtId="16" fontId="3" fillId="2" borderId="1" xfId="0" quotePrefix="1" applyNumberFormat="1" applyFont="1" applyFill="1" applyBorder="1" applyAlignment="1" applyProtection="1">
      <alignment horizontal="left" vertical="center" readingOrder="1"/>
      <protection locked="0"/>
    </xf>
    <xf numFmtId="0" fontId="3" fillId="2" borderId="1" xfId="0" applyFont="1" applyFill="1" applyBorder="1" applyAlignment="1">
      <alignment horizontal="left" vertical="center" readingOrder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readingOrder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6" fontId="3" fillId="0" borderId="0" xfId="0" applyNumberFormat="1" applyFont="1"/>
    <xf numFmtId="166" fontId="3" fillId="2" borderId="0" xfId="0" applyNumberFormat="1" applyFont="1" applyFill="1"/>
    <xf numFmtId="164" fontId="3" fillId="0" borderId="0" xfId="0" applyNumberFormat="1" applyFont="1" applyFill="1"/>
    <xf numFmtId="167" fontId="3" fillId="2" borderId="1" xfId="3" applyNumberFormat="1" applyFont="1" applyFill="1" applyBorder="1" applyAlignment="1">
      <alignment horizontal="center" vertical="center"/>
    </xf>
    <xf numFmtId="10" fontId="5" fillId="0" borderId="0" xfId="3" applyNumberFormat="1" applyFont="1"/>
    <xf numFmtId="2" fontId="3" fillId="0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5" xfId="0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V3.2007июльОКВЭДнефть2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Normal="100" zoomScaleSheetLayoutView="100" workbookViewId="0">
      <pane xSplit="5" ySplit="10" topLeftCell="F15" activePane="bottomRight" state="frozen"/>
      <selection pane="topRight" activeCell="F1" sqref="F1"/>
      <selection pane="bottomLeft" activeCell="A11" sqref="A11"/>
      <selection pane="bottomRight" activeCell="I3" sqref="I3"/>
    </sheetView>
  </sheetViews>
  <sheetFormatPr defaultColWidth="8.85546875" defaultRowHeight="15" outlineLevelRow="1" x14ac:dyDescent="0.25"/>
  <cols>
    <col min="1" max="1" width="3.85546875" style="3" customWidth="1"/>
    <col min="2" max="2" width="36.140625" style="2" customWidth="1"/>
    <col min="3" max="3" width="11.140625" style="2" customWidth="1"/>
    <col min="4" max="5" width="8.5703125" style="1" hidden="1" customWidth="1"/>
    <col min="6" max="8" width="9.7109375" style="1" customWidth="1"/>
    <col min="9" max="9" width="15.85546875" style="12" customWidth="1"/>
    <col min="10" max="10" width="9.7109375" style="12" customWidth="1"/>
    <col min="11" max="11" width="15.85546875" style="12" customWidth="1"/>
    <col min="12" max="12" width="9.7109375" style="12" customWidth="1"/>
    <col min="13" max="13" width="16.140625" style="12" customWidth="1"/>
    <col min="14" max="14" width="9.5703125" style="2" customWidth="1"/>
    <col min="15" max="15" width="9.5703125" style="2" hidden="1" customWidth="1"/>
    <col min="16" max="16" width="8.85546875" style="2" hidden="1" customWidth="1"/>
    <col min="17" max="17" width="9.5703125" style="2" hidden="1" customWidth="1"/>
    <col min="18" max="18" width="8.85546875" style="2" hidden="1" customWidth="1"/>
    <col min="19" max="19" width="9.5703125" style="2" hidden="1" customWidth="1"/>
    <col min="20" max="20" width="8.85546875" style="2" hidden="1" customWidth="1"/>
    <col min="21" max="16384" width="8.85546875" style="2"/>
  </cols>
  <sheetData>
    <row r="1" spans="1:20" x14ac:dyDescent="0.25">
      <c r="I1" s="12" t="s">
        <v>45</v>
      </c>
    </row>
    <row r="2" spans="1:20" x14ac:dyDescent="0.25">
      <c r="I2" s="51" t="s">
        <v>65</v>
      </c>
    </row>
    <row r="4" spans="1:20" x14ac:dyDescent="0.25">
      <c r="H4" s="53">
        <f>H47</f>
        <v>0.32576523031203564</v>
      </c>
      <c r="I4" s="53">
        <f t="shared" ref="I4:N4" si="0">I47</f>
        <v>0.32107142857142856</v>
      </c>
      <c r="J4" s="53">
        <f t="shared" si="0"/>
        <v>0.32592042755344419</v>
      </c>
      <c r="K4" s="53">
        <f t="shared" si="0"/>
        <v>0.32173136992414103</v>
      </c>
      <c r="L4" s="53">
        <f t="shared" si="0"/>
        <v>0.32596439169139468</v>
      </c>
      <c r="M4" s="53">
        <f t="shared" si="0"/>
        <v>0.32191495688373478</v>
      </c>
      <c r="N4" s="53">
        <f t="shared" si="0"/>
        <v>0.32611597211923476</v>
      </c>
    </row>
    <row r="6" spans="1:20" x14ac:dyDescent="0.25">
      <c r="A6" s="59" t="s">
        <v>42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20" x14ac:dyDescent="0.25">
      <c r="A7" s="59" t="s">
        <v>59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20" ht="15" customHeight="1" x14ac:dyDescent="0.25">
      <c r="A8" s="4"/>
      <c r="B8" s="5"/>
      <c r="C8" s="5"/>
      <c r="D8" s="6"/>
      <c r="E8" s="6"/>
      <c r="F8" s="6"/>
      <c r="G8" s="6"/>
      <c r="H8" s="6"/>
      <c r="I8" s="11"/>
      <c r="J8" s="11"/>
      <c r="K8" s="11"/>
      <c r="L8" s="11"/>
      <c r="M8" s="11"/>
    </row>
    <row r="9" spans="1:20" x14ac:dyDescent="0.25">
      <c r="A9" s="57" t="s">
        <v>0</v>
      </c>
      <c r="B9" s="57" t="s">
        <v>1</v>
      </c>
      <c r="C9" s="57" t="s">
        <v>2</v>
      </c>
      <c r="D9" s="16" t="s">
        <v>3</v>
      </c>
      <c r="E9" s="16" t="s">
        <v>30</v>
      </c>
      <c r="F9" s="16" t="s">
        <v>31</v>
      </c>
      <c r="G9" s="16" t="s">
        <v>35</v>
      </c>
      <c r="H9" s="44" t="s">
        <v>36</v>
      </c>
      <c r="I9" s="55" t="s">
        <v>37</v>
      </c>
      <c r="J9" s="62"/>
      <c r="K9" s="55" t="s">
        <v>41</v>
      </c>
      <c r="L9" s="62"/>
      <c r="M9" s="55" t="s">
        <v>46</v>
      </c>
      <c r="N9" s="56"/>
      <c r="O9" s="55" t="s">
        <v>47</v>
      </c>
      <c r="P9" s="56"/>
      <c r="Q9" s="55" t="s">
        <v>48</v>
      </c>
      <c r="R9" s="56"/>
      <c r="S9" s="55" t="s">
        <v>49</v>
      </c>
      <c r="T9" s="56"/>
    </row>
    <row r="10" spans="1:20" ht="15" customHeight="1" x14ac:dyDescent="0.25">
      <c r="A10" s="58"/>
      <c r="B10" s="58"/>
      <c r="C10" s="58"/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5</v>
      </c>
      <c r="I10" s="29" t="s">
        <v>51</v>
      </c>
      <c r="J10" s="29" t="s">
        <v>50</v>
      </c>
      <c r="K10" s="29" t="s">
        <v>51</v>
      </c>
      <c r="L10" s="29" t="s">
        <v>50</v>
      </c>
      <c r="M10" s="29" t="s">
        <v>51</v>
      </c>
      <c r="N10" s="29" t="s">
        <v>50</v>
      </c>
      <c r="O10" s="29" t="s">
        <v>43</v>
      </c>
      <c r="P10" s="29" t="s">
        <v>44</v>
      </c>
      <c r="Q10" s="29" t="s">
        <v>43</v>
      </c>
      <c r="R10" s="29" t="s">
        <v>44</v>
      </c>
      <c r="S10" s="29" t="s">
        <v>43</v>
      </c>
      <c r="T10" s="29" t="s">
        <v>44</v>
      </c>
    </row>
    <row r="11" spans="1:20" ht="90" x14ac:dyDescent="0.25">
      <c r="A11" s="25" t="s">
        <v>6</v>
      </c>
      <c r="B11" s="23" t="s">
        <v>7</v>
      </c>
      <c r="C11" s="14" t="s">
        <v>8</v>
      </c>
      <c r="D11" s="8">
        <v>9335.4189999999999</v>
      </c>
      <c r="E11" s="18">
        <v>22681.4</v>
      </c>
      <c r="F11" s="18">
        <v>22580.9</v>
      </c>
      <c r="G11" s="35">
        <v>27803.8</v>
      </c>
      <c r="H11" s="35">
        <f>G11*(H13/100)*(H14/100)</f>
        <v>28361.377405200001</v>
      </c>
      <c r="I11" s="35">
        <f>H11*(I13/100)*(I14/100)</f>
        <v>29738.03866444841</v>
      </c>
      <c r="J11" s="35">
        <f>H11*(J13/100)*(J14/100)</f>
        <v>30465.110935608122</v>
      </c>
      <c r="K11" s="35">
        <f>I11*(K13/100)*(K14/100)</f>
        <v>31456.897299253524</v>
      </c>
      <c r="L11" s="35">
        <f>J11*(L13/100)*(L14/100)</f>
        <v>32414.025012380851</v>
      </c>
      <c r="M11" s="35">
        <f>K11*(M13/100)*(M14/100)</f>
        <v>33598.860350154297</v>
      </c>
      <c r="N11" s="35">
        <f>L11*(N13/100)*(N14/100)</f>
        <v>34621.938740124184</v>
      </c>
      <c r="O11" s="35">
        <f>M11*O14*(M11*1.082/O14/M11)</f>
        <v>36353.966898866951</v>
      </c>
      <c r="P11" s="35">
        <f>N11*0</f>
        <v>0</v>
      </c>
      <c r="Q11" s="35">
        <f>O11*Q14*(O11*1.085/Q14/O11)</f>
        <v>39444.05408527064</v>
      </c>
      <c r="R11" s="35">
        <f>P11*0</f>
        <v>0</v>
      </c>
      <c r="S11" s="35">
        <f>Q11*S14*(Q11*1.083/S14/Q11)</f>
        <v>42717.910574348105</v>
      </c>
      <c r="T11" s="35">
        <f>R11*0</f>
        <v>0</v>
      </c>
    </row>
    <row r="12" spans="1:20" ht="15" customHeight="1" x14ac:dyDescent="0.25">
      <c r="A12" s="26"/>
      <c r="B12" s="23" t="s">
        <v>9</v>
      </c>
      <c r="C12" s="14" t="s">
        <v>10</v>
      </c>
      <c r="D12" s="8">
        <v>129</v>
      </c>
      <c r="E12" s="28">
        <v>108.1</v>
      </c>
      <c r="F12" s="28">
        <f>F11/E11*100</f>
        <v>99.556905658380884</v>
      </c>
      <c r="G12" s="35">
        <f>G11/F11*100</f>
        <v>123.12972467882146</v>
      </c>
      <c r="H12" s="16">
        <f>H11/G11*100</f>
        <v>102.00540000000001</v>
      </c>
      <c r="I12" s="35">
        <f>I11/H11*100</f>
        <v>104.854</v>
      </c>
      <c r="J12" s="35">
        <f t="shared" ref="J12:T12" si="1">J11/H11*100</f>
        <v>107.41760000000002</v>
      </c>
      <c r="K12" s="35">
        <f t="shared" si="1"/>
        <v>105.77999999999999</v>
      </c>
      <c r="L12" s="35">
        <f t="shared" si="1"/>
        <v>106.39720000000001</v>
      </c>
      <c r="M12" s="35">
        <f t="shared" si="1"/>
        <v>106.8092</v>
      </c>
      <c r="N12" s="35">
        <f t="shared" si="1"/>
        <v>106.81160000000001</v>
      </c>
      <c r="O12" s="35">
        <f t="shared" si="1"/>
        <v>108.2</v>
      </c>
      <c r="P12" s="35">
        <f t="shared" si="1"/>
        <v>0</v>
      </c>
      <c r="Q12" s="35">
        <f t="shared" si="1"/>
        <v>108.5</v>
      </c>
      <c r="R12" s="35" t="e">
        <f t="shared" si="1"/>
        <v>#DIV/0!</v>
      </c>
      <c r="S12" s="35">
        <f t="shared" si="1"/>
        <v>108.3</v>
      </c>
      <c r="T12" s="35" t="e">
        <f t="shared" si="1"/>
        <v>#DIV/0!</v>
      </c>
    </row>
    <row r="13" spans="1:20" x14ac:dyDescent="0.25">
      <c r="A13" s="27"/>
      <c r="B13" s="23" t="s">
        <v>11</v>
      </c>
      <c r="C13" s="14" t="s">
        <v>10</v>
      </c>
      <c r="D13" s="8">
        <v>107.2</v>
      </c>
      <c r="E13" s="28">
        <v>94.8</v>
      </c>
      <c r="F13" s="28">
        <f>F11/F14/E11*10000</f>
        <v>97.413802014071308</v>
      </c>
      <c r="G13" s="35">
        <f>G11/G14/F11*10000</f>
        <v>114.22052382079914</v>
      </c>
      <c r="H13" s="16">
        <v>89.4</v>
      </c>
      <c r="I13" s="35">
        <v>101.8</v>
      </c>
      <c r="J13" s="35">
        <v>102.4</v>
      </c>
      <c r="K13" s="35">
        <v>102.5</v>
      </c>
      <c r="L13" s="35">
        <v>102.7</v>
      </c>
      <c r="M13" s="35">
        <v>102.8</v>
      </c>
      <c r="N13" s="35">
        <v>103.1</v>
      </c>
      <c r="O13" s="35">
        <f t="shared" ref="O13:T13" si="2">O11/O14/M11*10000</f>
        <v>105.04854368932041</v>
      </c>
      <c r="P13" s="35" t="e">
        <f t="shared" si="2"/>
        <v>#DIV/0!</v>
      </c>
      <c r="Q13" s="35">
        <f t="shared" si="2"/>
        <v>105.33980582524272</v>
      </c>
      <c r="R13" s="35" t="e">
        <f t="shared" si="2"/>
        <v>#DIV/0!</v>
      </c>
      <c r="S13" s="35">
        <f t="shared" si="2"/>
        <v>105.14563106796116</v>
      </c>
      <c r="T13" s="35" t="e">
        <f t="shared" si="2"/>
        <v>#DIV/0!</v>
      </c>
    </row>
    <row r="14" spans="1:20" x14ac:dyDescent="0.25">
      <c r="A14" s="27"/>
      <c r="B14" s="23" t="s">
        <v>12</v>
      </c>
      <c r="C14" s="14" t="s">
        <v>10</v>
      </c>
      <c r="D14" s="8">
        <v>114.54171802935849</v>
      </c>
      <c r="E14" s="28">
        <v>114</v>
      </c>
      <c r="F14" s="28">
        <v>102.2</v>
      </c>
      <c r="G14" s="35">
        <v>107.8</v>
      </c>
      <c r="H14" s="35">
        <v>114.1</v>
      </c>
      <c r="I14" s="35">
        <v>103</v>
      </c>
      <c r="J14" s="35">
        <v>104.9</v>
      </c>
      <c r="K14" s="35">
        <v>103.2</v>
      </c>
      <c r="L14" s="35">
        <v>103.6</v>
      </c>
      <c r="M14" s="35">
        <v>103.9</v>
      </c>
      <c r="N14" s="36">
        <v>103.6</v>
      </c>
      <c r="O14" s="35">
        <v>103</v>
      </c>
      <c r="P14" s="36"/>
      <c r="Q14" s="35">
        <v>103</v>
      </c>
      <c r="R14" s="36"/>
      <c r="S14" s="35">
        <v>103</v>
      </c>
      <c r="T14" s="36"/>
    </row>
    <row r="15" spans="1:20" s="10" customFormat="1" ht="45" x14ac:dyDescent="0.25">
      <c r="A15" s="27">
        <v>2</v>
      </c>
      <c r="B15" s="23" t="s">
        <v>15</v>
      </c>
      <c r="C15" s="14" t="s">
        <v>8</v>
      </c>
      <c r="D15" s="7">
        <v>4260</v>
      </c>
      <c r="E15" s="17">
        <f>E19+E23</f>
        <v>13826.699999999999</v>
      </c>
      <c r="F15" s="35">
        <f t="shared" ref="F15:N15" si="3">F19+F23</f>
        <v>13823.6</v>
      </c>
      <c r="G15" s="35">
        <f t="shared" si="3"/>
        <v>14918.2</v>
      </c>
      <c r="H15" s="35">
        <f t="shared" si="3"/>
        <v>15742.058035000002</v>
      </c>
      <c r="I15" s="35">
        <f t="shared" si="3"/>
        <v>16701.944302871383</v>
      </c>
      <c r="J15" s="35">
        <f t="shared" si="3"/>
        <v>16749.679571868372</v>
      </c>
      <c r="K15" s="35">
        <f t="shared" si="3"/>
        <v>17619.257258002115</v>
      </c>
      <c r="L15" s="35">
        <f t="shared" si="3"/>
        <v>17670.14954074255</v>
      </c>
      <c r="M15" s="35">
        <f t="shared" si="3"/>
        <v>18729.589933593241</v>
      </c>
      <c r="N15" s="35">
        <f t="shared" si="3"/>
        <v>18857.203222390988</v>
      </c>
      <c r="O15" s="35">
        <f>M15*O18*(M15*1.084/O18/M15)</f>
        <v>20302.875488015074</v>
      </c>
      <c r="P15" s="29">
        <f>N15*0</f>
        <v>0</v>
      </c>
      <c r="Q15" s="35">
        <f>O15*Q18*(O15*1.086/Q18/O15)</f>
        <v>22048.922779984376</v>
      </c>
      <c r="R15" s="29">
        <f>P15*0</f>
        <v>0</v>
      </c>
      <c r="S15" s="35">
        <f>Q15*S18*(Q15*1.09/S18/Q15)</f>
        <v>24033.325830182966</v>
      </c>
      <c r="T15" s="29">
        <f>R15*0</f>
        <v>0</v>
      </c>
    </row>
    <row r="16" spans="1:20" ht="15" customHeight="1" x14ac:dyDescent="0.25">
      <c r="A16" s="27"/>
      <c r="B16" s="23" t="s">
        <v>9</v>
      </c>
      <c r="C16" s="14" t="s">
        <v>10</v>
      </c>
      <c r="D16" s="7">
        <v>129.5</v>
      </c>
      <c r="E16" s="31">
        <v>112.5</v>
      </c>
      <c r="F16" s="31">
        <f>F15/E15*100</f>
        <v>99.97757961046382</v>
      </c>
      <c r="G16" s="35">
        <f>G15/F15*100</f>
        <v>107.91834254463382</v>
      </c>
      <c r="H16" s="35">
        <f>H15/G15*100</f>
        <v>105.5225029494175</v>
      </c>
      <c r="I16" s="35">
        <f>I15/H15*100</f>
        <v>106.09759070724567</v>
      </c>
      <c r="J16" s="35">
        <f t="shared" ref="J16:T16" si="4">J15/H15*100</f>
        <v>106.40082468650593</v>
      </c>
      <c r="K16" s="35">
        <f>K15/I15*100</f>
        <v>105.49225250962566</v>
      </c>
      <c r="L16" s="35">
        <f t="shared" si="4"/>
        <v>105.49544822588808</v>
      </c>
      <c r="M16" s="35">
        <f t="shared" si="4"/>
        <v>106.30181317709545</v>
      </c>
      <c r="N16" s="35">
        <f t="shared" si="4"/>
        <v>106.71784740084635</v>
      </c>
      <c r="O16" s="35">
        <f t="shared" si="4"/>
        <v>108.4</v>
      </c>
      <c r="P16" s="35">
        <f t="shared" si="4"/>
        <v>0</v>
      </c>
      <c r="Q16" s="35">
        <f t="shared" si="4"/>
        <v>108.60000000000002</v>
      </c>
      <c r="R16" s="35" t="e">
        <f t="shared" si="4"/>
        <v>#DIV/0!</v>
      </c>
      <c r="S16" s="35">
        <f t="shared" si="4"/>
        <v>108.99999999999999</v>
      </c>
      <c r="T16" s="35" t="e">
        <f t="shared" si="4"/>
        <v>#DIV/0!</v>
      </c>
    </row>
    <row r="17" spans="1:20" x14ac:dyDescent="0.25">
      <c r="A17" s="27"/>
      <c r="B17" s="23" t="s">
        <v>13</v>
      </c>
      <c r="C17" s="14" t="s">
        <v>10</v>
      </c>
      <c r="D17" s="7">
        <v>118.9</v>
      </c>
      <c r="E17" s="32">
        <v>90.9</v>
      </c>
      <c r="F17" s="32">
        <f>F15/F18/E15*10000</f>
        <v>92.790355850288989</v>
      </c>
      <c r="G17" s="35">
        <f>G15/G18/F15*10000</f>
        <v>103.71456490649848</v>
      </c>
      <c r="H17" s="35">
        <f>H15/H18/G15*10000</f>
        <v>102.88133131404288</v>
      </c>
      <c r="I17" s="35">
        <f>I15/I18/H15*10000</f>
        <v>101.30428629516317</v>
      </c>
      <c r="J17" s="35">
        <f>J15/J18/H15*10000</f>
        <v>101.6953768715542</v>
      </c>
      <c r="K17" s="35">
        <f t="shared" ref="K17:T17" si="5">K15/K18/I15*10000</f>
        <v>101.79528704368789</v>
      </c>
      <c r="L17" s="35">
        <f t="shared" si="5"/>
        <v>101.9952989488086</v>
      </c>
      <c r="M17" s="35">
        <f t="shared" si="5"/>
        <v>102.19539675519503</v>
      </c>
      <c r="N17" s="35">
        <f>N15/N18/L15*10000</f>
        <v>102.59540921482179</v>
      </c>
      <c r="O17" s="35">
        <f t="shared" si="5"/>
        <v>104.23076923076924</v>
      </c>
      <c r="P17" s="35" t="e">
        <f t="shared" si="5"/>
        <v>#DIV/0!</v>
      </c>
      <c r="Q17" s="35">
        <f t="shared" si="5"/>
        <v>104.42307692307695</v>
      </c>
      <c r="R17" s="35" t="e">
        <f t="shared" si="5"/>
        <v>#DIV/0!</v>
      </c>
      <c r="S17" s="35">
        <f t="shared" si="5"/>
        <v>104.80769230769229</v>
      </c>
      <c r="T17" s="35" t="e">
        <f t="shared" si="5"/>
        <v>#DIV/0!</v>
      </c>
    </row>
    <row r="18" spans="1:20" x14ac:dyDescent="0.25">
      <c r="A18" s="27"/>
      <c r="B18" s="23" t="s">
        <v>14</v>
      </c>
      <c r="C18" s="14" t="s">
        <v>10</v>
      </c>
      <c r="D18" s="8">
        <v>108.9</v>
      </c>
      <c r="E18" s="13">
        <v>115.9</v>
      </c>
      <c r="F18" s="35">
        <f>(F19*F22/100+F23*F26/100)/F15*100</f>
        <v>107.74565814983073</v>
      </c>
      <c r="G18" s="35">
        <f t="shared" ref="G18:N18" si="6">(G19*G22/100+G23*G26/100)/G15*100</f>
        <v>104.05321821667492</v>
      </c>
      <c r="H18" s="35">
        <f t="shared" si="6"/>
        <v>102.56720203912653</v>
      </c>
      <c r="I18" s="35">
        <f t="shared" si="6"/>
        <v>104.73159092016759</v>
      </c>
      <c r="J18" s="35">
        <f t="shared" si="6"/>
        <v>104.62700268164097</v>
      </c>
      <c r="K18" s="35">
        <f t="shared" si="6"/>
        <v>103.63176486191459</v>
      </c>
      <c r="L18" s="35">
        <f t="shared" si="6"/>
        <v>103.43167706075964</v>
      </c>
      <c r="M18" s="35">
        <f t="shared" si="6"/>
        <v>104.01820096822676</v>
      </c>
      <c r="N18" s="35">
        <f t="shared" si="6"/>
        <v>104.01815073166941</v>
      </c>
      <c r="O18" s="29">
        <v>104</v>
      </c>
      <c r="P18" s="36"/>
      <c r="Q18" s="29">
        <v>104</v>
      </c>
      <c r="R18" s="36"/>
      <c r="S18" s="29">
        <v>104</v>
      </c>
      <c r="T18" s="36"/>
    </row>
    <row r="19" spans="1:20" s="10" customFormat="1" ht="45" hidden="1" outlineLevel="1" x14ac:dyDescent="0.25">
      <c r="A19" s="27" t="s">
        <v>53</v>
      </c>
      <c r="B19" s="23" t="s">
        <v>52</v>
      </c>
      <c r="C19" s="14" t="s">
        <v>8</v>
      </c>
      <c r="D19" s="7">
        <v>4260</v>
      </c>
      <c r="E19" s="35">
        <v>13138.4</v>
      </c>
      <c r="F19" s="35">
        <v>13197.6</v>
      </c>
      <c r="G19" s="35">
        <v>14256.6</v>
      </c>
      <c r="H19" s="35">
        <f>G19*(H21/100)*(H22/100)</f>
        <v>15036.792435000001</v>
      </c>
      <c r="I19" s="35">
        <f>H19*(I21/100)*(I22/100)</f>
        <v>15948.187461277785</v>
      </c>
      <c r="J19" s="35">
        <f>H19*(J21/100)*(J22/100)</f>
        <v>15995.869130089173</v>
      </c>
      <c r="K19" s="35">
        <f>I19*(K21/100)*(K22/100)</f>
        <v>16819.724009661695</v>
      </c>
      <c r="L19" s="35">
        <f>J19*(L21/100)*(L22/100)</f>
        <v>16870.52325412245</v>
      </c>
      <c r="M19" s="35">
        <f>K19*(M21/100)*(M22/100)</f>
        <v>17877.348255389225</v>
      </c>
      <c r="N19" s="35">
        <f>L19*(N21/100)*(N22/100)</f>
        <v>18001.523133078823</v>
      </c>
      <c r="O19" s="35">
        <f>M19*O22*(M19*1.084/O22/M19)</f>
        <v>19379.045508841922</v>
      </c>
      <c r="P19" s="29">
        <f>N19*0</f>
        <v>0</v>
      </c>
      <c r="Q19" s="35">
        <f>O19*Q22*(O19*1.086/Q22/O19)</f>
        <v>21045.64342260233</v>
      </c>
      <c r="R19" s="29">
        <f>P19*0</f>
        <v>0</v>
      </c>
      <c r="S19" s="35">
        <f>Q19*S22*(Q19*1.09/S22/Q19)</f>
        <v>22939.75133063654</v>
      </c>
      <c r="T19" s="29">
        <f>R19*0</f>
        <v>0</v>
      </c>
    </row>
    <row r="20" spans="1:20" ht="15" hidden="1" customHeight="1" outlineLevel="1" x14ac:dyDescent="0.25">
      <c r="A20" s="27"/>
      <c r="B20" s="23" t="s">
        <v>9</v>
      </c>
      <c r="C20" s="14" t="s">
        <v>10</v>
      </c>
      <c r="D20" s="7">
        <v>129.5</v>
      </c>
      <c r="E20" s="35">
        <v>112.5</v>
      </c>
      <c r="F20" s="35">
        <f>F19/E19*100</f>
        <v>100.45058759057419</v>
      </c>
      <c r="G20" s="35">
        <f>G19/F19*100</f>
        <v>108.02418621567557</v>
      </c>
      <c r="H20" s="35">
        <f>H19/G19*100</f>
        <v>105.47250000000001</v>
      </c>
      <c r="I20" s="35">
        <f>I19/H19*100</f>
        <v>106.0611</v>
      </c>
      <c r="J20" s="35">
        <f t="shared" ref="J20" si="7">J19/H19*100</f>
        <v>106.37820000000002</v>
      </c>
      <c r="K20" s="35">
        <f t="shared" ref="K20" si="8">K19/I19*100</f>
        <v>105.4648</v>
      </c>
      <c r="L20" s="35">
        <f t="shared" ref="L20" si="9">L19/J19*100</f>
        <v>105.468</v>
      </c>
      <c r="M20" s="35">
        <f t="shared" ref="M20" si="10">M19/K19*100</f>
        <v>106.28800000000001</v>
      </c>
      <c r="N20" s="35">
        <f t="shared" ref="N20" si="11">N19/L19*100</f>
        <v>106.70400000000002</v>
      </c>
      <c r="O20" s="35">
        <f t="shared" ref="O20" si="12">O19/M19*100</f>
        <v>108.4</v>
      </c>
      <c r="P20" s="35">
        <f t="shared" ref="P20" si="13">P19/N19*100</f>
        <v>0</v>
      </c>
      <c r="Q20" s="35">
        <f t="shared" ref="Q20" si="14">Q19/O19*100</f>
        <v>108.60000000000001</v>
      </c>
      <c r="R20" s="35" t="e">
        <f t="shared" ref="R20" si="15">R19/P19*100</f>
        <v>#DIV/0!</v>
      </c>
      <c r="S20" s="35">
        <f t="shared" ref="S20" si="16">S19/Q19*100</f>
        <v>109.00000000000001</v>
      </c>
      <c r="T20" s="35" t="e">
        <f t="shared" ref="T20" si="17">T19/R19*100</f>
        <v>#DIV/0!</v>
      </c>
    </row>
    <row r="21" spans="1:20" hidden="1" outlineLevel="1" x14ac:dyDescent="0.25">
      <c r="A21" s="27"/>
      <c r="B21" s="23" t="s">
        <v>13</v>
      </c>
      <c r="C21" s="14" t="s">
        <v>10</v>
      </c>
      <c r="D21" s="7">
        <v>118.9</v>
      </c>
      <c r="E21" s="35">
        <v>90.9</v>
      </c>
      <c r="F21" s="35">
        <f>F19/F22/E19*10000</f>
        <v>93.18236325656234</v>
      </c>
      <c r="G21" s="35">
        <f>G19/G22/F19*10000</f>
        <v>103.86940982276496</v>
      </c>
      <c r="H21" s="35">
        <v>102.9</v>
      </c>
      <c r="I21" s="35">
        <v>101.3</v>
      </c>
      <c r="J21" s="35">
        <v>101.7</v>
      </c>
      <c r="K21" s="35">
        <v>101.8</v>
      </c>
      <c r="L21" s="35">
        <v>102</v>
      </c>
      <c r="M21" s="35">
        <v>102.2</v>
      </c>
      <c r="N21" s="35">
        <v>102.6</v>
      </c>
      <c r="O21" s="35">
        <f t="shared" ref="O21" si="18">O19/O22/M19*10000</f>
        <v>104.23076923076924</v>
      </c>
      <c r="P21" s="35" t="e">
        <f t="shared" ref="P21" si="19">P19/P22/N19*10000</f>
        <v>#DIV/0!</v>
      </c>
      <c r="Q21" s="35">
        <f t="shared" ref="Q21" si="20">Q19/Q22/O19*10000</f>
        <v>104.42307692307693</v>
      </c>
      <c r="R21" s="35" t="e">
        <f t="shared" ref="R21" si="21">R19/R22/P19*10000</f>
        <v>#DIV/0!</v>
      </c>
      <c r="S21" s="35">
        <f t="shared" ref="S21" si="22">S19/S22/Q19*10000</f>
        <v>104.80769230769231</v>
      </c>
      <c r="T21" s="35" t="e">
        <f t="shared" ref="T21" si="23">T19/T22/R19*10000</f>
        <v>#DIV/0!</v>
      </c>
    </row>
    <row r="22" spans="1:20" hidden="1" outlineLevel="1" x14ac:dyDescent="0.25">
      <c r="A22" s="27"/>
      <c r="B22" s="23" t="s">
        <v>14</v>
      </c>
      <c r="C22" s="14" t="s">
        <v>10</v>
      </c>
      <c r="D22" s="8">
        <v>108.9</v>
      </c>
      <c r="E22" s="13">
        <v>115.9</v>
      </c>
      <c r="F22" s="13">
        <v>107.8</v>
      </c>
      <c r="G22" s="35">
        <v>104</v>
      </c>
      <c r="H22" s="35">
        <v>102.5</v>
      </c>
      <c r="I22" s="35">
        <v>104.7</v>
      </c>
      <c r="J22" s="35">
        <v>104.6</v>
      </c>
      <c r="K22" s="35">
        <v>103.6</v>
      </c>
      <c r="L22" s="35">
        <v>103.4</v>
      </c>
      <c r="M22" s="35">
        <v>104</v>
      </c>
      <c r="N22" s="36">
        <v>104</v>
      </c>
      <c r="O22" s="29">
        <v>104</v>
      </c>
      <c r="P22" s="36"/>
      <c r="Q22" s="29">
        <v>104</v>
      </c>
      <c r="R22" s="36"/>
      <c r="S22" s="29">
        <v>104</v>
      </c>
      <c r="T22" s="36"/>
    </row>
    <row r="23" spans="1:20" s="10" customFormat="1" ht="45" hidden="1" outlineLevel="1" x14ac:dyDescent="0.25">
      <c r="A23" s="27" t="s">
        <v>54</v>
      </c>
      <c r="B23" s="23" t="s">
        <v>55</v>
      </c>
      <c r="C23" s="14" t="s">
        <v>8</v>
      </c>
      <c r="D23" s="7">
        <v>4260</v>
      </c>
      <c r="E23" s="35">
        <v>688.3</v>
      </c>
      <c r="F23" s="35">
        <v>626</v>
      </c>
      <c r="G23" s="35">
        <v>661.6</v>
      </c>
      <c r="H23" s="35">
        <f>G23*(H25/100)*(H26/100)</f>
        <v>705.26560000000006</v>
      </c>
      <c r="I23" s="35">
        <f>H23*(I25/100)*(I26/100)</f>
        <v>753.75684159360014</v>
      </c>
      <c r="J23" s="35">
        <f>H23*(J25/100)*(J26/100)</f>
        <v>753.81044177920012</v>
      </c>
      <c r="K23" s="35">
        <f>I23*(K25/100)*(K26/100)</f>
        <v>799.5332483404211</v>
      </c>
      <c r="L23" s="35">
        <f>J23*(L25/100)*(L26/100)</f>
        <v>799.62628662009809</v>
      </c>
      <c r="M23" s="35">
        <f>K23*(M25/100)*(M26/100)</f>
        <v>852.24167820401499</v>
      </c>
      <c r="N23" s="35">
        <f>L23*(N25/100)*(N26/100)</f>
        <v>855.68008931216696</v>
      </c>
      <c r="O23" s="35">
        <f>M23*O26*(M23*1.084/O26/M23)</f>
        <v>923.82997917315231</v>
      </c>
      <c r="P23" s="29">
        <f>N23*0</f>
        <v>0</v>
      </c>
      <c r="Q23" s="35">
        <f>O23*Q26*(O23*1.086/Q26/O23)</f>
        <v>1003.2793573820436</v>
      </c>
      <c r="R23" s="29">
        <f>P23*0</f>
        <v>0</v>
      </c>
      <c r="S23" s="35">
        <f>Q23*S26*(Q23*1.09/S26/Q23)</f>
        <v>1093.5744995464277</v>
      </c>
      <c r="T23" s="29">
        <f>R23*0</f>
        <v>0</v>
      </c>
    </row>
    <row r="24" spans="1:20" ht="15" hidden="1" customHeight="1" outlineLevel="1" x14ac:dyDescent="0.25">
      <c r="A24" s="27"/>
      <c r="B24" s="23" t="s">
        <v>9</v>
      </c>
      <c r="C24" s="14" t="s">
        <v>10</v>
      </c>
      <c r="D24" s="7">
        <v>129.5</v>
      </c>
      <c r="E24" s="35">
        <v>112.5</v>
      </c>
      <c r="F24" s="35">
        <f>F23/E23*100</f>
        <v>90.948714223449073</v>
      </c>
      <c r="G24" s="35">
        <f>G23/F23*100</f>
        <v>105.68690095846647</v>
      </c>
      <c r="H24" s="35">
        <f>H23/G23*100</f>
        <v>106.60000000000001</v>
      </c>
      <c r="I24" s="35">
        <f>I23/H23*100</f>
        <v>106.87560000000001</v>
      </c>
      <c r="J24" s="35">
        <f t="shared" ref="J24" si="24">J23/H23*100</f>
        <v>106.8832</v>
      </c>
      <c r="K24" s="35">
        <f t="shared" ref="K24" si="25">K23/I23*100</f>
        <v>106.07310000000001</v>
      </c>
      <c r="L24" s="35">
        <f t="shared" ref="L24" si="26">L23/J23*100</f>
        <v>106.07789999999999</v>
      </c>
      <c r="M24" s="35">
        <f t="shared" ref="M24" si="27">M23/K23*100</f>
        <v>106.59239999999998</v>
      </c>
      <c r="N24" s="35">
        <f t="shared" ref="N24" si="28">N23/L23*100</f>
        <v>107.01</v>
      </c>
      <c r="O24" s="35">
        <f t="shared" ref="O24" si="29">O23/M23*100</f>
        <v>108.4</v>
      </c>
      <c r="P24" s="35">
        <f t="shared" ref="P24" si="30">P23/N23*100</f>
        <v>0</v>
      </c>
      <c r="Q24" s="35">
        <f t="shared" ref="Q24" si="31">Q23/O23*100</f>
        <v>108.60000000000002</v>
      </c>
      <c r="R24" s="35" t="e">
        <f t="shared" ref="R24" si="32">R23/P23*100</f>
        <v>#DIV/0!</v>
      </c>
      <c r="S24" s="35">
        <f t="shared" ref="S24" si="33">S23/Q23*100</f>
        <v>109.00000000000001</v>
      </c>
      <c r="T24" s="35" t="e">
        <f t="shared" ref="T24" si="34">T23/R23*100</f>
        <v>#DIV/0!</v>
      </c>
    </row>
    <row r="25" spans="1:20" hidden="1" outlineLevel="1" x14ac:dyDescent="0.25">
      <c r="A25" s="27"/>
      <c r="B25" s="23" t="s">
        <v>13</v>
      </c>
      <c r="C25" s="14" t="s">
        <v>10</v>
      </c>
      <c r="D25" s="7">
        <v>118.9</v>
      </c>
      <c r="E25" s="35">
        <v>90.9</v>
      </c>
      <c r="F25" s="35">
        <f>F23/F26/E23*10000</f>
        <v>85.317743173967244</v>
      </c>
      <c r="G25" s="35">
        <f>G23/G26/F23*10000</f>
        <v>100.46283361070955</v>
      </c>
      <c r="H25" s="35">
        <v>102.5</v>
      </c>
      <c r="I25" s="35">
        <v>101.4</v>
      </c>
      <c r="J25" s="35">
        <v>101.6</v>
      </c>
      <c r="K25" s="35">
        <v>101.7</v>
      </c>
      <c r="L25" s="35">
        <v>101.9</v>
      </c>
      <c r="M25" s="35">
        <v>102.1</v>
      </c>
      <c r="N25" s="35">
        <v>102.5</v>
      </c>
      <c r="O25" s="35">
        <f t="shared" ref="O25" si="35">O23/O26/M23*10000</f>
        <v>104.23076923076924</v>
      </c>
      <c r="P25" s="35" t="e">
        <f t="shared" ref="P25" si="36">P23/P26/N23*10000</f>
        <v>#DIV/0!</v>
      </c>
      <c r="Q25" s="35">
        <f t="shared" ref="Q25" si="37">Q23/Q26/O23*10000</f>
        <v>104.42307692307695</v>
      </c>
      <c r="R25" s="35" t="e">
        <f t="shared" ref="R25" si="38">R23/R26/P23*10000</f>
        <v>#DIV/0!</v>
      </c>
      <c r="S25" s="35">
        <f t="shared" ref="S25" si="39">S23/S26/Q23*10000</f>
        <v>104.80769230769231</v>
      </c>
      <c r="T25" s="35" t="e">
        <f t="shared" ref="T25" si="40">T23/T26/R23*10000</f>
        <v>#DIV/0!</v>
      </c>
    </row>
    <row r="26" spans="1:20" hidden="1" outlineLevel="1" x14ac:dyDescent="0.25">
      <c r="A26" s="27"/>
      <c r="B26" s="23" t="s">
        <v>14</v>
      </c>
      <c r="C26" s="14" t="s">
        <v>10</v>
      </c>
      <c r="D26" s="8">
        <v>108.9</v>
      </c>
      <c r="E26" s="13">
        <v>115.9</v>
      </c>
      <c r="F26" s="13">
        <v>106.6</v>
      </c>
      <c r="G26" s="35">
        <v>105.2</v>
      </c>
      <c r="H26" s="35">
        <v>104</v>
      </c>
      <c r="I26" s="35">
        <v>105.4</v>
      </c>
      <c r="J26" s="35">
        <v>105.2</v>
      </c>
      <c r="K26" s="35">
        <v>104.3</v>
      </c>
      <c r="L26" s="35">
        <v>104.1</v>
      </c>
      <c r="M26" s="35">
        <v>104.4</v>
      </c>
      <c r="N26" s="36">
        <v>104.4</v>
      </c>
      <c r="O26" s="29">
        <v>104</v>
      </c>
      <c r="P26" s="36"/>
      <c r="Q26" s="29">
        <v>104</v>
      </c>
      <c r="R26" s="36"/>
      <c r="S26" s="29">
        <v>104</v>
      </c>
      <c r="T26" s="36"/>
    </row>
    <row r="27" spans="1:20" s="41" customFormat="1" ht="45" collapsed="1" x14ac:dyDescent="0.25">
      <c r="A27" s="27">
        <v>3</v>
      </c>
      <c r="B27" s="23" t="s">
        <v>16</v>
      </c>
      <c r="C27" s="14" t="s">
        <v>8</v>
      </c>
      <c r="D27" s="7">
        <v>994.9</v>
      </c>
      <c r="E27" s="17">
        <v>2062.9</v>
      </c>
      <c r="F27" s="32">
        <v>1516.8</v>
      </c>
      <c r="G27" s="35">
        <v>1625.8489999999999</v>
      </c>
      <c r="H27" s="35">
        <f>G27*(H29/100)*(H30/100)</f>
        <v>1754.9755534290005</v>
      </c>
      <c r="I27" s="35">
        <f>H27*(I29/100)*(I30/100)</f>
        <v>1892.3901392624912</v>
      </c>
      <c r="J27" s="35">
        <f>H27*(J29/100)*(J30/100)</f>
        <v>1899.8487853645643</v>
      </c>
      <c r="K27" s="35">
        <f>I27*(K29/100)*(K30/100)</f>
        <v>2106.1564217837213</v>
      </c>
      <c r="L27" s="35">
        <f>J27*(L29/100)*(L30/100)</f>
        <v>2134.183733946571</v>
      </c>
      <c r="M27" s="35">
        <f>K27*(M29/100)*(M30/100)</f>
        <v>2306.4940206237889</v>
      </c>
      <c r="N27" s="35">
        <f>L27*(N29/100)*(N30/100)</f>
        <v>2377.2629928756173</v>
      </c>
      <c r="O27" s="35">
        <f>M27*O30*(M27*1.091/O30/M27)</f>
        <v>2516.3849765005534</v>
      </c>
      <c r="P27" s="35">
        <f>N27*1.045*1.041</f>
        <v>2586.0936604847757</v>
      </c>
      <c r="Q27" s="35">
        <f>O27*Q30*(O27*1.093/Q30/O27)</f>
        <v>2750.4087793151043</v>
      </c>
      <c r="R27" s="35">
        <f>P27*1.045*1.041</f>
        <v>2813.2690580900603</v>
      </c>
      <c r="S27" s="35">
        <f>Q27*S30*(Q27*1.095/S30/Q27)</f>
        <v>3011.6976133500393</v>
      </c>
      <c r="T27" s="35">
        <f>R27*1.045*1.041</f>
        <v>3060.4006784979815</v>
      </c>
    </row>
    <row r="28" spans="1:20" s="41" customFormat="1" x14ac:dyDescent="0.25">
      <c r="A28" s="27"/>
      <c r="B28" s="23" t="s">
        <v>9</v>
      </c>
      <c r="C28" s="14" t="s">
        <v>10</v>
      </c>
      <c r="D28" s="7">
        <v>215.91919454649889</v>
      </c>
      <c r="E28" s="32">
        <v>116.1</v>
      </c>
      <c r="F28" s="32">
        <f>F27/E27*100</f>
        <v>73.527558291725242</v>
      </c>
      <c r="G28" s="35">
        <f>G27/F27*100</f>
        <v>107.18941191983123</v>
      </c>
      <c r="H28" s="35">
        <f>H27/G27*100</f>
        <v>107.94210000000004</v>
      </c>
      <c r="I28" s="35">
        <f>I27/H27*100</f>
        <v>107.83</v>
      </c>
      <c r="J28" s="35">
        <f t="shared" ref="J28" si="41">J27/H27*100</f>
        <v>108.255</v>
      </c>
      <c r="K28" s="35">
        <f t="shared" ref="K28" si="42">K27/I27*100</f>
        <v>111.29609999999998</v>
      </c>
      <c r="L28" s="35">
        <f t="shared" ref="L28" si="43">L27/J27*100</f>
        <v>112.33439999999999</v>
      </c>
      <c r="M28" s="35">
        <f t="shared" ref="M28" si="44">M27/K27*100</f>
        <v>109.51200000000001</v>
      </c>
      <c r="N28" s="35">
        <f t="shared" ref="N28" si="45">N27/L27*100</f>
        <v>111.38979999999998</v>
      </c>
      <c r="O28" s="35">
        <f t="shared" ref="O28:T28" si="46">O27/M27*100</f>
        <v>109.1</v>
      </c>
      <c r="P28" s="35">
        <f t="shared" si="46"/>
        <v>108.78449999999999</v>
      </c>
      <c r="Q28" s="35">
        <f t="shared" si="46"/>
        <v>109.29999999999997</v>
      </c>
      <c r="R28" s="35">
        <f t="shared" si="46"/>
        <v>108.78449999999998</v>
      </c>
      <c r="S28" s="35">
        <f t="shared" si="46"/>
        <v>109.5</v>
      </c>
      <c r="T28" s="35">
        <f t="shared" si="46"/>
        <v>108.78449999999999</v>
      </c>
    </row>
    <row r="29" spans="1:20" x14ac:dyDescent="0.25">
      <c r="A29" s="27"/>
      <c r="B29" s="24" t="s">
        <v>17</v>
      </c>
      <c r="C29" s="14" t="s">
        <v>10</v>
      </c>
      <c r="D29" s="8">
        <v>186.38494944062361</v>
      </c>
      <c r="E29" s="32">
        <v>104.8</v>
      </c>
      <c r="F29" s="32">
        <f>F27/F30/E27*10000</f>
        <v>69.169857282902385</v>
      </c>
      <c r="G29" s="35">
        <f>G27/G30/F27*10000</f>
        <v>103.36491024091728</v>
      </c>
      <c r="H29" s="35">
        <v>102.9</v>
      </c>
      <c r="I29" s="35">
        <v>102.5</v>
      </c>
      <c r="J29" s="35">
        <v>103.1</v>
      </c>
      <c r="K29" s="35">
        <v>106.3</v>
      </c>
      <c r="L29" s="35">
        <v>107.6</v>
      </c>
      <c r="M29" s="35">
        <v>105.3</v>
      </c>
      <c r="N29" s="35">
        <v>106.9</v>
      </c>
      <c r="O29" s="35">
        <f t="shared" ref="O29:T29" si="47">O27/O30/M27*10000</f>
        <v>104.7024952015355</v>
      </c>
      <c r="P29" s="35">
        <f t="shared" si="47"/>
        <v>104.49999999999999</v>
      </c>
      <c r="Q29" s="35">
        <f t="shared" si="47"/>
        <v>104.89443378118999</v>
      </c>
      <c r="R29" s="35">
        <f t="shared" si="47"/>
        <v>104.49999999999999</v>
      </c>
      <c r="S29" s="35">
        <f t="shared" si="47"/>
        <v>105.08637236084454</v>
      </c>
      <c r="T29" s="35">
        <f t="shared" si="47"/>
        <v>104.50000000000001</v>
      </c>
    </row>
    <row r="30" spans="1:20" x14ac:dyDescent="0.25">
      <c r="A30" s="27"/>
      <c r="B30" s="23" t="s">
        <v>12</v>
      </c>
      <c r="C30" s="14" t="s">
        <v>10</v>
      </c>
      <c r="D30" s="9">
        <v>115.7</v>
      </c>
      <c r="E30" s="34">
        <v>110.8</v>
      </c>
      <c r="F30" s="34">
        <v>106.3</v>
      </c>
      <c r="G30" s="34">
        <v>103.7</v>
      </c>
      <c r="H30" s="35">
        <v>104.9</v>
      </c>
      <c r="I30" s="35">
        <v>105.2</v>
      </c>
      <c r="J30" s="35">
        <v>105</v>
      </c>
      <c r="K30" s="35">
        <v>104.7</v>
      </c>
      <c r="L30" s="35">
        <v>104.4</v>
      </c>
      <c r="M30" s="35">
        <v>104</v>
      </c>
      <c r="N30" s="36">
        <v>104.2</v>
      </c>
      <c r="O30" s="35">
        <v>104.2</v>
      </c>
      <c r="P30" s="36">
        <v>104.1</v>
      </c>
      <c r="Q30" s="35">
        <v>104.2</v>
      </c>
      <c r="R30" s="36">
        <v>104.1</v>
      </c>
      <c r="S30" s="35">
        <v>104.2</v>
      </c>
      <c r="T30" s="36">
        <v>104.1</v>
      </c>
    </row>
    <row r="31" spans="1:20" s="41" customFormat="1" ht="45" customHeight="1" x14ac:dyDescent="0.25">
      <c r="A31" s="37">
        <v>4</v>
      </c>
      <c r="B31" s="38" t="s">
        <v>18</v>
      </c>
      <c r="C31" s="39" t="s">
        <v>8</v>
      </c>
      <c r="D31" s="40">
        <v>478</v>
      </c>
      <c r="E31" s="16">
        <v>2126.1</v>
      </c>
      <c r="F31" s="16">
        <v>2317.4</v>
      </c>
      <c r="G31" s="16">
        <v>2084</v>
      </c>
      <c r="H31" s="16">
        <f>G31*1.032</f>
        <v>2150.6880000000001</v>
      </c>
      <c r="I31" s="16">
        <f>H31*1.026</f>
        <v>2206.605888</v>
      </c>
      <c r="J31" s="16">
        <f>H31*1.036</f>
        <v>2228.112768</v>
      </c>
      <c r="K31" s="16">
        <f>I31*1.084</f>
        <v>2391.9607825920002</v>
      </c>
      <c r="L31" s="16">
        <f>J31*1.031</f>
        <v>2297.1842638079997</v>
      </c>
      <c r="M31" s="16">
        <f>K31*1.055</f>
        <v>2523.5186256345601</v>
      </c>
      <c r="N31" s="16">
        <f>L31*1.073</f>
        <v>2464.8787150659837</v>
      </c>
      <c r="O31" s="16">
        <f>M31*1.09</f>
        <v>2750.6353019416706</v>
      </c>
      <c r="P31" s="16">
        <f>N31*0</f>
        <v>0</v>
      </c>
      <c r="Q31" s="16">
        <f>O31*1.09</f>
        <v>2998.1924791164211</v>
      </c>
      <c r="R31" s="16">
        <f>P31*0</f>
        <v>0</v>
      </c>
      <c r="S31" s="16">
        <f>Q31*1.09</f>
        <v>3268.0298022368993</v>
      </c>
      <c r="T31" s="16">
        <f>R31*0</f>
        <v>0</v>
      </c>
    </row>
    <row r="32" spans="1:20" s="41" customFormat="1" ht="48.75" customHeight="1" x14ac:dyDescent="0.25">
      <c r="A32" s="37">
        <v>5</v>
      </c>
      <c r="B32" s="38" t="s">
        <v>19</v>
      </c>
      <c r="C32" s="39" t="s">
        <v>8</v>
      </c>
      <c r="D32" s="40">
        <v>619</v>
      </c>
      <c r="E32" s="16">
        <v>2825.9</v>
      </c>
      <c r="F32" s="16">
        <v>3071.8</v>
      </c>
      <c r="G32" s="16">
        <f>F32*1.034</f>
        <v>3176.2412000000004</v>
      </c>
      <c r="H32" s="16">
        <f>G32*1.049</f>
        <v>3331.8770188000003</v>
      </c>
      <c r="I32" s="16">
        <f>H32*1.028</f>
        <v>3425.1695753264003</v>
      </c>
      <c r="J32" s="16">
        <f>H32*1.039</f>
        <v>3461.8202225332002</v>
      </c>
      <c r="K32" s="16">
        <f>I32*1.073</f>
        <v>3675.2069543252273</v>
      </c>
      <c r="L32" s="16">
        <f>J32*1.035</f>
        <v>3582.9839303218619</v>
      </c>
      <c r="M32" s="16">
        <f>K32*1.057</f>
        <v>3884.6937507217649</v>
      </c>
      <c r="N32" s="16">
        <f>L32*1.072</f>
        <v>3840.9587733050362</v>
      </c>
      <c r="O32" s="16">
        <f>M32*1.085</f>
        <v>4214.8927195331144</v>
      </c>
      <c r="P32" s="16">
        <f>N32*0</f>
        <v>0</v>
      </c>
      <c r="Q32" s="16">
        <f>O32*1.085</f>
        <v>4573.1586006934285</v>
      </c>
      <c r="R32" s="16">
        <f>P32*0</f>
        <v>0</v>
      </c>
      <c r="S32" s="16">
        <f>Q32*1.085</f>
        <v>4961.87708175237</v>
      </c>
      <c r="T32" s="16">
        <f>R32*0</f>
        <v>0</v>
      </c>
    </row>
    <row r="33" spans="1:20" ht="51.75" customHeight="1" x14ac:dyDescent="0.25">
      <c r="A33" s="27">
        <v>6</v>
      </c>
      <c r="B33" s="23" t="s">
        <v>32</v>
      </c>
      <c r="C33" s="14" t="s">
        <v>8</v>
      </c>
      <c r="D33" s="8">
        <v>2963.8338792000004</v>
      </c>
      <c r="E33" s="30">
        <v>7826.5</v>
      </c>
      <c r="F33" s="32">
        <v>7941.7</v>
      </c>
      <c r="G33" s="35">
        <v>8680.85</v>
      </c>
      <c r="H33" s="35">
        <f t="shared" ref="H33:N33" si="48">H34*H35*12/1000</f>
        <v>9367.2534398976004</v>
      </c>
      <c r="I33" s="35">
        <f t="shared" si="48"/>
        <v>9992.9750698462485</v>
      </c>
      <c r="J33" s="35">
        <f t="shared" si="48"/>
        <v>9945.226767083961</v>
      </c>
      <c r="K33" s="35">
        <f t="shared" si="48"/>
        <v>10537.04288664219</v>
      </c>
      <c r="L33" s="35">
        <f t="shared" si="48"/>
        <v>10487.809567858218</v>
      </c>
      <c r="M33" s="35">
        <f t="shared" si="48"/>
        <v>11181.763871587489</v>
      </c>
      <c r="N33" s="35">
        <f t="shared" si="48"/>
        <v>11182.465929338914</v>
      </c>
      <c r="O33" s="35">
        <f>M33*1.064</f>
        <v>11897.396759369089</v>
      </c>
      <c r="P33" s="16">
        <f>N33*0</f>
        <v>0</v>
      </c>
      <c r="Q33" s="35">
        <f>O33*1.064</f>
        <v>12658.83015196871</v>
      </c>
      <c r="R33" s="16">
        <f>P33*0</f>
        <v>0</v>
      </c>
      <c r="S33" s="35">
        <f>Q33*1.064</f>
        <v>13468.995281694708</v>
      </c>
      <c r="T33" s="16">
        <f>R33*0</f>
        <v>0</v>
      </c>
    </row>
    <row r="34" spans="1:20" ht="53.25" customHeight="1" x14ac:dyDescent="0.25">
      <c r="A34" s="27">
        <v>7</v>
      </c>
      <c r="B34" s="23" t="s">
        <v>34</v>
      </c>
      <c r="C34" s="14" t="s">
        <v>23</v>
      </c>
      <c r="D34" s="7">
        <v>28.058</v>
      </c>
      <c r="E34" s="33">
        <v>24.591000000000001</v>
      </c>
      <c r="F34" s="20">
        <v>23.933</v>
      </c>
      <c r="G34" s="20">
        <v>23.085999999999999</v>
      </c>
      <c r="H34" s="20">
        <f t="shared" ref="H34:N34" si="49">(H46-H45)/1000</f>
        <v>22.687999999999999</v>
      </c>
      <c r="I34" s="20">
        <f t="shared" si="49"/>
        <v>22.812000000000001</v>
      </c>
      <c r="J34" s="20">
        <f t="shared" si="49"/>
        <v>22.702999999999999</v>
      </c>
      <c r="K34" s="20">
        <f t="shared" si="49"/>
        <v>22.8</v>
      </c>
      <c r="L34" s="20">
        <f t="shared" si="49"/>
        <v>22.715</v>
      </c>
      <c r="M34" s="20">
        <f t="shared" si="49"/>
        <v>22.803999999999998</v>
      </c>
      <c r="N34" s="20">
        <f t="shared" si="49"/>
        <v>22.72</v>
      </c>
      <c r="O34" s="33">
        <f t="shared" ref="O34:T34" si="50">O33/12/O35*1000</f>
        <v>22.803999999999998</v>
      </c>
      <c r="P34" s="33">
        <f t="shared" si="50"/>
        <v>0</v>
      </c>
      <c r="Q34" s="33">
        <f t="shared" si="50"/>
        <v>22.803999999999995</v>
      </c>
      <c r="R34" s="33">
        <f t="shared" si="50"/>
        <v>0</v>
      </c>
      <c r="S34" s="33">
        <f t="shared" si="50"/>
        <v>22.803999999999995</v>
      </c>
      <c r="T34" s="33">
        <f t="shared" si="50"/>
        <v>0</v>
      </c>
    </row>
    <row r="35" spans="1:20" ht="64.5" customHeight="1" x14ac:dyDescent="0.25">
      <c r="A35" s="42">
        <v>8</v>
      </c>
      <c r="B35" s="43" t="s">
        <v>33</v>
      </c>
      <c r="C35" s="14" t="s">
        <v>20</v>
      </c>
      <c r="D35" s="8">
        <v>8802.7000000000007</v>
      </c>
      <c r="E35" s="35">
        <v>25890</v>
      </c>
      <c r="F35" s="35">
        <v>27611</v>
      </c>
      <c r="G35" s="35">
        <v>31335.200000000001</v>
      </c>
      <c r="H35" s="35">
        <f>G35*1.098</f>
        <v>34406.049600000006</v>
      </c>
      <c r="I35" s="35">
        <f>H35*1.061</f>
        <v>36504.818625600004</v>
      </c>
      <c r="J35" s="35">
        <f>H35*1.061</f>
        <v>36504.818625600004</v>
      </c>
      <c r="K35" s="35">
        <f>I35*1.055</f>
        <v>38512.583650008004</v>
      </c>
      <c r="L35" s="35">
        <f>J35*1.054</f>
        <v>38476.078831382409</v>
      </c>
      <c r="M35" s="35">
        <f>K35*1.061</f>
        <v>40861.851252658489</v>
      </c>
      <c r="N35" s="35">
        <f>L35*1.066</f>
        <v>41015.500034253651</v>
      </c>
      <c r="O35" s="35">
        <f>M35*1.064</f>
        <v>43477.009732828636</v>
      </c>
      <c r="P35" s="35">
        <f>N35*1.061</f>
        <v>43517.445536343119</v>
      </c>
      <c r="Q35" s="35">
        <f>O35*1.064</f>
        <v>46259.538355729674</v>
      </c>
      <c r="R35" s="35">
        <f>P35*1.061</f>
        <v>46172.009714060048</v>
      </c>
      <c r="S35" s="35">
        <f>Q35*1.064</f>
        <v>49220.148810496372</v>
      </c>
      <c r="T35" s="35">
        <f>R35*1.061</f>
        <v>48988.502306617709</v>
      </c>
    </row>
    <row r="36" spans="1:20" ht="30.75" customHeight="1" x14ac:dyDescent="0.25">
      <c r="A36" s="27">
        <v>9</v>
      </c>
      <c r="B36" s="23" t="s">
        <v>21</v>
      </c>
      <c r="C36" s="14" t="s">
        <v>22</v>
      </c>
      <c r="D36" s="7">
        <v>99.9</v>
      </c>
      <c r="E36" s="20">
        <v>98.891000000000005</v>
      </c>
      <c r="F36" s="20">
        <v>98.239000000000004</v>
      </c>
      <c r="G36" s="20">
        <v>97.606999999999999</v>
      </c>
      <c r="H36" s="20">
        <v>96.912999999999997</v>
      </c>
      <c r="I36" s="20">
        <v>96.171999999999997</v>
      </c>
      <c r="J36" s="20">
        <v>96.268999999999991</v>
      </c>
      <c r="K36" s="20">
        <v>95.527999999999992</v>
      </c>
      <c r="L36" s="20">
        <v>95.669999999999987</v>
      </c>
      <c r="M36" s="20">
        <v>94.928999999999988</v>
      </c>
      <c r="N36" s="20">
        <v>95.125999999999991</v>
      </c>
      <c r="O36" s="33">
        <f>M36-0.3</f>
        <v>94.628999999999991</v>
      </c>
      <c r="P36" s="33">
        <f>O36+0.14</f>
        <v>94.768999999999991</v>
      </c>
      <c r="Q36" s="33">
        <f>O36-0.3</f>
        <v>94.328999999999994</v>
      </c>
      <c r="R36" s="33">
        <f>Q36+0.14</f>
        <v>94.468999999999994</v>
      </c>
      <c r="S36" s="33">
        <f>Q36-0.3</f>
        <v>94.028999999999996</v>
      </c>
      <c r="T36" s="33">
        <f>S36+0.14</f>
        <v>94.168999999999997</v>
      </c>
    </row>
    <row r="37" spans="1:20" ht="37.5" customHeight="1" x14ac:dyDescent="0.25">
      <c r="A37" s="27">
        <v>10</v>
      </c>
      <c r="B37" s="23" t="s">
        <v>24</v>
      </c>
      <c r="C37" s="14" t="s">
        <v>23</v>
      </c>
      <c r="D37" s="7">
        <v>0.76900000000000002</v>
      </c>
      <c r="E37" s="19">
        <v>0.90900000000000003</v>
      </c>
      <c r="F37" s="19">
        <v>0.754</v>
      </c>
      <c r="G37" s="19">
        <v>0.65600000000000003</v>
      </c>
      <c r="H37" s="19">
        <v>0.47</v>
      </c>
      <c r="I37" s="19">
        <f>H37</f>
        <v>0.47</v>
      </c>
      <c r="J37" s="19">
        <v>0.44500000000000001</v>
      </c>
      <c r="K37" s="19">
        <v>0.46</v>
      </c>
      <c r="L37" s="19">
        <v>0.44</v>
      </c>
      <c r="M37" s="19">
        <v>0.47</v>
      </c>
      <c r="N37" s="19">
        <v>0.43</v>
      </c>
      <c r="O37" s="21">
        <f>O50*O38/100</f>
        <v>0.49000000000000005</v>
      </c>
      <c r="P37" s="36">
        <v>0.53</v>
      </c>
      <c r="Q37" s="21">
        <f>Q50*Q38/100</f>
        <v>0.49000000000000005</v>
      </c>
      <c r="R37" s="36">
        <v>0.53</v>
      </c>
      <c r="S37" s="21">
        <f>S50*S38/100</f>
        <v>0.49000000000000005</v>
      </c>
      <c r="T37" s="46">
        <v>0.53</v>
      </c>
    </row>
    <row r="38" spans="1:20" ht="54" customHeight="1" x14ac:dyDescent="0.25">
      <c r="A38" s="27">
        <v>11</v>
      </c>
      <c r="B38" s="23" t="s">
        <v>25</v>
      </c>
      <c r="C38" s="13" t="s">
        <v>10</v>
      </c>
      <c r="D38" s="7">
        <v>1.25</v>
      </c>
      <c r="E38" s="21">
        <v>1.61</v>
      </c>
      <c r="F38" s="21">
        <v>1.36</v>
      </c>
      <c r="G38" s="21">
        <v>1.22</v>
      </c>
      <c r="H38" s="54">
        <f t="shared" ref="H38:N38" si="51">H37/H50*100</f>
        <v>0.90185167418209722</v>
      </c>
      <c r="I38" s="21">
        <f t="shared" si="51"/>
        <v>0.90384615384615385</v>
      </c>
      <c r="J38" s="21">
        <f t="shared" si="51"/>
        <v>0.85412667946257204</v>
      </c>
      <c r="K38" s="21">
        <f t="shared" si="51"/>
        <v>0.88803088803088814</v>
      </c>
      <c r="L38" s="21">
        <f t="shared" si="51"/>
        <v>0.84291187739463591</v>
      </c>
      <c r="M38" s="21">
        <f t="shared" si="51"/>
        <v>0.90733590733590741</v>
      </c>
      <c r="N38" s="21">
        <f t="shared" si="51"/>
        <v>0.82296650717703346</v>
      </c>
      <c r="O38" s="21">
        <v>1.05</v>
      </c>
      <c r="P38" s="36">
        <v>1.19</v>
      </c>
      <c r="Q38" s="21">
        <v>1.05</v>
      </c>
      <c r="R38" s="36">
        <v>1.19</v>
      </c>
      <c r="S38" s="21">
        <v>1.05</v>
      </c>
      <c r="T38" s="46">
        <v>1.19</v>
      </c>
    </row>
    <row r="39" spans="1:20" ht="41.25" customHeight="1" x14ac:dyDescent="0.25">
      <c r="A39" s="27">
        <v>12</v>
      </c>
      <c r="B39" s="23" t="s">
        <v>29</v>
      </c>
      <c r="C39" s="14" t="s">
        <v>26</v>
      </c>
      <c r="D39" s="15">
        <v>561</v>
      </c>
      <c r="E39" s="22">
        <v>1214</v>
      </c>
      <c r="F39" s="22">
        <v>977</v>
      </c>
      <c r="G39" s="22">
        <v>893</v>
      </c>
      <c r="H39" s="22">
        <v>892</v>
      </c>
      <c r="I39" s="22">
        <f>900-I40</f>
        <v>893</v>
      </c>
      <c r="J39" s="22">
        <f>901-J40</f>
        <v>893</v>
      </c>
      <c r="K39" s="22">
        <f>900-K40</f>
        <v>893</v>
      </c>
      <c r="L39" s="22">
        <f>901-L40</f>
        <v>893</v>
      </c>
      <c r="M39" s="22">
        <f>900-M40</f>
        <v>893</v>
      </c>
      <c r="N39" s="22">
        <f>901-N40</f>
        <v>893</v>
      </c>
      <c r="O39" s="22">
        <f>901-O40</f>
        <v>894</v>
      </c>
      <c r="P39" s="46"/>
      <c r="Q39" s="22">
        <f>901-Q40</f>
        <v>894</v>
      </c>
      <c r="R39" s="46"/>
      <c r="S39" s="22">
        <f>901-S40</f>
        <v>894</v>
      </c>
      <c r="T39" s="46"/>
    </row>
    <row r="40" spans="1:20" ht="30" customHeight="1" x14ac:dyDescent="0.25">
      <c r="A40" s="27">
        <v>13</v>
      </c>
      <c r="B40" s="23" t="s">
        <v>38</v>
      </c>
      <c r="C40" s="14" t="s">
        <v>26</v>
      </c>
      <c r="D40" s="15"/>
      <c r="E40" s="22">
        <v>2</v>
      </c>
      <c r="F40" s="22">
        <v>8</v>
      </c>
      <c r="G40" s="22">
        <v>7</v>
      </c>
      <c r="H40" s="22">
        <v>8</v>
      </c>
      <c r="I40" s="22">
        <v>7</v>
      </c>
      <c r="J40" s="22">
        <v>8</v>
      </c>
      <c r="K40" s="22">
        <v>7</v>
      </c>
      <c r="L40" s="22">
        <v>8</v>
      </c>
      <c r="M40" s="22">
        <v>7</v>
      </c>
      <c r="N40" s="36">
        <v>8</v>
      </c>
      <c r="O40" s="22">
        <v>7</v>
      </c>
      <c r="P40" s="46"/>
      <c r="Q40" s="22">
        <v>7</v>
      </c>
      <c r="R40" s="46"/>
      <c r="S40" s="22">
        <v>7</v>
      </c>
      <c r="T40" s="46"/>
    </row>
    <row r="41" spans="1:20" ht="30" hidden="1" customHeight="1" outlineLevel="1" x14ac:dyDescent="0.25">
      <c r="A41" s="27"/>
      <c r="B41" s="23" t="s">
        <v>61</v>
      </c>
      <c r="C41" s="14" t="s">
        <v>26</v>
      </c>
      <c r="D41" s="15"/>
      <c r="E41" s="22"/>
      <c r="F41" s="22">
        <v>1498</v>
      </c>
      <c r="G41" s="22">
        <v>1820</v>
      </c>
      <c r="H41" s="22">
        <v>1937</v>
      </c>
      <c r="I41" s="22">
        <v>1821</v>
      </c>
      <c r="J41" s="22">
        <v>1940</v>
      </c>
      <c r="K41" s="22">
        <v>1823</v>
      </c>
      <c r="L41" s="22">
        <v>1945</v>
      </c>
      <c r="M41" s="22">
        <v>1824</v>
      </c>
      <c r="N41" s="36">
        <v>1950</v>
      </c>
      <c r="O41" s="22"/>
      <c r="P41" s="46"/>
      <c r="Q41" s="22"/>
      <c r="R41" s="46"/>
      <c r="S41" s="22"/>
      <c r="T41" s="46"/>
    </row>
    <row r="42" spans="1:20" ht="80.25" customHeight="1" collapsed="1" x14ac:dyDescent="0.25">
      <c r="A42" s="27">
        <v>14</v>
      </c>
      <c r="B42" s="23" t="s">
        <v>39</v>
      </c>
      <c r="C42" s="14" t="s">
        <v>27</v>
      </c>
      <c r="D42" s="15">
        <v>3862</v>
      </c>
      <c r="E42" s="22">
        <v>5632</v>
      </c>
      <c r="F42" s="22">
        <v>5364</v>
      </c>
      <c r="G42" s="22">
        <v>5334</v>
      </c>
      <c r="H42" s="22">
        <v>5367</v>
      </c>
      <c r="I42" s="22">
        <v>5367</v>
      </c>
      <c r="J42" s="22">
        <v>5375</v>
      </c>
      <c r="K42" s="22">
        <v>5367</v>
      </c>
      <c r="L42" s="22">
        <v>5380</v>
      </c>
      <c r="M42" s="22">
        <v>5367</v>
      </c>
      <c r="N42" s="22">
        <v>5385</v>
      </c>
      <c r="O42" s="48">
        <f>N42</f>
        <v>5385</v>
      </c>
      <c r="P42" s="46">
        <v>5630</v>
      </c>
      <c r="Q42" s="48">
        <f>P42</f>
        <v>5630</v>
      </c>
      <c r="R42" s="46">
        <v>5630</v>
      </c>
      <c r="S42" s="48">
        <f>R42</f>
        <v>5630</v>
      </c>
      <c r="T42" s="46">
        <v>5630</v>
      </c>
    </row>
    <row r="43" spans="1:20" ht="64.5" customHeight="1" x14ac:dyDescent="0.25">
      <c r="A43" s="27">
        <v>15</v>
      </c>
      <c r="B43" s="23" t="s">
        <v>40</v>
      </c>
      <c r="C43" s="14" t="s">
        <v>27</v>
      </c>
      <c r="D43" s="15"/>
      <c r="E43" s="13">
        <v>331</v>
      </c>
      <c r="F43" s="13">
        <v>607</v>
      </c>
      <c r="G43" s="13">
        <v>1333</v>
      </c>
      <c r="H43" s="22">
        <v>1513</v>
      </c>
      <c r="I43" s="22">
        <v>1500</v>
      </c>
      <c r="J43" s="22">
        <v>1517</v>
      </c>
      <c r="K43" s="22">
        <v>1515</v>
      </c>
      <c r="L43" s="22">
        <v>1520</v>
      </c>
      <c r="M43" s="22">
        <v>1520</v>
      </c>
      <c r="N43" s="22">
        <v>1520</v>
      </c>
      <c r="O43" s="47">
        <f>N43</f>
        <v>1520</v>
      </c>
      <c r="P43" s="46">
        <v>740</v>
      </c>
      <c r="Q43" s="47">
        <f>P43</f>
        <v>740</v>
      </c>
      <c r="R43" s="46">
        <v>740</v>
      </c>
      <c r="S43" s="47">
        <f>R43</f>
        <v>740</v>
      </c>
      <c r="T43" s="46">
        <v>740</v>
      </c>
    </row>
    <row r="44" spans="1:20" ht="64.5" hidden="1" customHeight="1" outlineLevel="1" x14ac:dyDescent="0.25">
      <c r="A44" s="27"/>
      <c r="B44" s="23" t="s">
        <v>60</v>
      </c>
      <c r="C44" s="14" t="s">
        <v>27</v>
      </c>
      <c r="D44" s="15"/>
      <c r="E44" s="13"/>
      <c r="F44" s="13">
        <v>2147</v>
      </c>
      <c r="G44" s="13">
        <v>2016</v>
      </c>
      <c r="H44" s="22">
        <v>2145</v>
      </c>
      <c r="I44" s="22">
        <v>2100</v>
      </c>
      <c r="J44" s="22">
        <v>2145</v>
      </c>
      <c r="K44" s="22">
        <v>2110</v>
      </c>
      <c r="L44" s="22">
        <v>2140</v>
      </c>
      <c r="M44" s="22">
        <v>2115</v>
      </c>
      <c r="N44" s="22">
        <v>2140</v>
      </c>
      <c r="O44" s="47"/>
      <c r="P44" s="46"/>
      <c r="Q44" s="47"/>
      <c r="R44" s="46"/>
      <c r="S44" s="47"/>
      <c r="T44" s="46"/>
    </row>
    <row r="45" spans="1:20" ht="64.5" hidden="1" customHeight="1" outlineLevel="1" x14ac:dyDescent="0.25">
      <c r="A45" s="27"/>
      <c r="B45" s="23" t="s">
        <v>64</v>
      </c>
      <c r="C45" s="14" t="s">
        <v>27</v>
      </c>
      <c r="D45" s="15"/>
      <c r="E45" s="13"/>
      <c r="F45" s="22">
        <f t="shared" ref="F45:N45" si="52">SUM(F41:F44)</f>
        <v>9616</v>
      </c>
      <c r="G45" s="22">
        <f t="shared" si="52"/>
        <v>10503</v>
      </c>
      <c r="H45" s="22">
        <f t="shared" si="52"/>
        <v>10962</v>
      </c>
      <c r="I45" s="22">
        <f t="shared" si="52"/>
        <v>10788</v>
      </c>
      <c r="J45" s="22">
        <f t="shared" si="52"/>
        <v>10977</v>
      </c>
      <c r="K45" s="22">
        <f t="shared" si="52"/>
        <v>10815</v>
      </c>
      <c r="L45" s="22">
        <f t="shared" si="52"/>
        <v>10985</v>
      </c>
      <c r="M45" s="22">
        <f t="shared" si="52"/>
        <v>10826</v>
      </c>
      <c r="N45" s="22">
        <f t="shared" si="52"/>
        <v>10995</v>
      </c>
      <c r="O45" s="47"/>
      <c r="P45" s="46"/>
      <c r="Q45" s="47"/>
      <c r="R45" s="46"/>
      <c r="S45" s="47"/>
      <c r="T45" s="46"/>
    </row>
    <row r="46" spans="1:20" ht="64.5" hidden="1" customHeight="1" outlineLevel="1" x14ac:dyDescent="0.25">
      <c r="A46" s="27"/>
      <c r="B46" s="23" t="s">
        <v>63</v>
      </c>
      <c r="C46" s="14" t="s">
        <v>27</v>
      </c>
      <c r="D46" s="15"/>
      <c r="E46" s="13"/>
      <c r="F46" s="13">
        <v>33499</v>
      </c>
      <c r="G46" s="13">
        <v>33596</v>
      </c>
      <c r="H46" s="22">
        <v>33650</v>
      </c>
      <c r="I46" s="22">
        <v>33600</v>
      </c>
      <c r="J46" s="22">
        <v>33680</v>
      </c>
      <c r="K46" s="22">
        <v>33615</v>
      </c>
      <c r="L46" s="22">
        <v>33700</v>
      </c>
      <c r="M46" s="22">
        <v>33630</v>
      </c>
      <c r="N46" s="22">
        <v>33715</v>
      </c>
      <c r="O46" s="47"/>
      <c r="P46" s="46"/>
      <c r="Q46" s="47"/>
      <c r="R46" s="46"/>
      <c r="S46" s="47"/>
      <c r="T46" s="46"/>
    </row>
    <row r="47" spans="1:20" ht="64.5" hidden="1" customHeight="1" outlineLevel="1" x14ac:dyDescent="0.25">
      <c r="A47" s="27"/>
      <c r="B47" s="23" t="s">
        <v>62</v>
      </c>
      <c r="C47" s="14" t="s">
        <v>10</v>
      </c>
      <c r="D47" s="15"/>
      <c r="E47" s="13"/>
      <c r="F47" s="52">
        <f>SUM(F41:F44)/F46</f>
        <v>0.28705334487596645</v>
      </c>
      <c r="G47" s="52">
        <f t="shared" ref="G47:N47" si="53">SUM(G41:G44)/G46</f>
        <v>0.31262650315513751</v>
      </c>
      <c r="H47" s="52">
        <f t="shared" si="53"/>
        <v>0.32576523031203564</v>
      </c>
      <c r="I47" s="52">
        <f t="shared" si="53"/>
        <v>0.32107142857142856</v>
      </c>
      <c r="J47" s="52">
        <f t="shared" si="53"/>
        <v>0.32592042755344419</v>
      </c>
      <c r="K47" s="52">
        <f t="shared" si="53"/>
        <v>0.32173136992414103</v>
      </c>
      <c r="L47" s="52">
        <f t="shared" si="53"/>
        <v>0.32596439169139468</v>
      </c>
      <c r="M47" s="52">
        <f t="shared" si="53"/>
        <v>0.32191495688373478</v>
      </c>
      <c r="N47" s="52">
        <f t="shared" si="53"/>
        <v>0.32611597211923476</v>
      </c>
      <c r="O47" s="47"/>
      <c r="P47" s="46"/>
      <c r="Q47" s="47"/>
      <c r="R47" s="46"/>
      <c r="S47" s="47"/>
      <c r="T47" s="46"/>
    </row>
    <row r="48" spans="1:20" ht="45" collapsed="1" x14ac:dyDescent="0.25">
      <c r="A48" s="27">
        <v>16</v>
      </c>
      <c r="B48" s="23" t="s">
        <v>56</v>
      </c>
      <c r="C48" s="14" t="s">
        <v>28</v>
      </c>
      <c r="D48" s="15"/>
      <c r="E48" s="17">
        <v>292.8</v>
      </c>
      <c r="F48" s="17">
        <v>4210</v>
      </c>
      <c r="G48" s="13">
        <v>5393</v>
      </c>
      <c r="H48" s="35">
        <f>G48*1.03</f>
        <v>5554.79</v>
      </c>
      <c r="I48" s="35">
        <f>H48*1.03</f>
        <v>5721.4337000000005</v>
      </c>
      <c r="J48" s="35">
        <f>I48</f>
        <v>5721.4337000000005</v>
      </c>
      <c r="K48" s="35">
        <f>I48*1.03</f>
        <v>5893.0767110000006</v>
      </c>
      <c r="L48" s="35">
        <f>K48</f>
        <v>5893.0767110000006</v>
      </c>
      <c r="M48" s="35">
        <f>K48*1.03</f>
        <v>6069.8690123300012</v>
      </c>
      <c r="N48" s="35">
        <f>M48</f>
        <v>6069.8690123300012</v>
      </c>
      <c r="O48" s="35">
        <f>M48*1.03</f>
        <v>6251.9650826999014</v>
      </c>
      <c r="P48" s="35">
        <f>O48</f>
        <v>6251.9650826999014</v>
      </c>
      <c r="Q48" s="35">
        <f>O48*1.03</f>
        <v>6439.5240351808989</v>
      </c>
      <c r="R48" s="35">
        <f>Q48</f>
        <v>6439.5240351808989</v>
      </c>
      <c r="S48" s="35">
        <f>Q48*1.03</f>
        <v>6632.709756236326</v>
      </c>
      <c r="T48" s="45">
        <f>S48</f>
        <v>6632.709756236326</v>
      </c>
    </row>
    <row r="49" spans="2:19" s="2" customFormat="1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 s="2" customFormat="1" x14ac:dyDescent="0.25">
      <c r="B50" s="2" t="s">
        <v>57</v>
      </c>
      <c r="D50" s="1"/>
      <c r="E50" s="1"/>
      <c r="F50" s="49">
        <v>55.140999999999998</v>
      </c>
      <c r="G50" s="49">
        <v>53.901000000000003</v>
      </c>
      <c r="H50" s="49">
        <v>52.115000000000002</v>
      </c>
      <c r="I50" s="50">
        <v>52</v>
      </c>
      <c r="J50" s="50">
        <v>52.1</v>
      </c>
      <c r="K50" s="50">
        <v>51.8</v>
      </c>
      <c r="L50" s="50">
        <v>52.2</v>
      </c>
      <c r="M50" s="50">
        <v>51.8</v>
      </c>
      <c r="N50" s="49">
        <v>52.25</v>
      </c>
      <c r="O50" s="2">
        <v>46.666666666666671</v>
      </c>
      <c r="P50" s="2">
        <v>44.537815126050425</v>
      </c>
      <c r="Q50" s="2">
        <v>46.666666666666671</v>
      </c>
      <c r="R50" s="2">
        <v>44.537815126050425</v>
      </c>
      <c r="S50" s="2">
        <v>46.666666666666671</v>
      </c>
    </row>
    <row r="51" spans="2:19" s="2" customFormat="1" x14ac:dyDescent="0.25">
      <c r="B51" s="2" t="s">
        <v>58</v>
      </c>
      <c r="D51" s="1"/>
      <c r="E51" s="1"/>
      <c r="F51" s="1"/>
      <c r="G51" s="1"/>
      <c r="H51" s="52">
        <f>H36/G36</f>
        <v>0.99288985421127585</v>
      </c>
      <c r="I51" s="52">
        <f>I34/H34</f>
        <v>1.0054654442877293</v>
      </c>
      <c r="J51" s="52">
        <f>J34/H34</f>
        <v>1.0006611424541607</v>
      </c>
      <c r="K51" s="52">
        <f>K34/I34</f>
        <v>0.99947396107311937</v>
      </c>
      <c r="L51" s="52">
        <f t="shared" ref="L51:N51" si="54">L34/J34</f>
        <v>1.0005285645068933</v>
      </c>
      <c r="M51" s="52">
        <f t="shared" si="54"/>
        <v>1.0001754385964912</v>
      </c>
      <c r="N51" s="52">
        <f t="shared" si="54"/>
        <v>1.0002201188641866</v>
      </c>
    </row>
  </sheetData>
  <mergeCells count="11">
    <mergeCell ref="A6:N6"/>
    <mergeCell ref="A7:N7"/>
    <mergeCell ref="I9:J9"/>
    <mergeCell ref="K9:L9"/>
    <mergeCell ref="M9:N9"/>
    <mergeCell ref="O9:P9"/>
    <mergeCell ref="Q9:R9"/>
    <mergeCell ref="S9:T9"/>
    <mergeCell ref="B9:B10"/>
    <mergeCell ref="A9:A10"/>
    <mergeCell ref="C9:C10"/>
  </mergeCells>
  <phoneticPr fontId="0" type="noConversion"/>
  <pageMargins left="0.39370078740157483" right="0.39370078740157483" top="0.98425196850393704" bottom="0.39370078740157483" header="0.51181102362204722" footer="0.51181102362204722"/>
  <pageSetup paperSize="9" scale="90" fitToHeight="3" orientation="landscape" r:id="rId1"/>
  <headerFooter alignWithMargins="0"/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Мерзлякова Анастасия В.</cp:lastModifiedBy>
  <cp:lastPrinted>2018-10-25T07:34:56Z</cp:lastPrinted>
  <dcterms:created xsi:type="dcterms:W3CDTF">2009-09-02T11:19:33Z</dcterms:created>
  <dcterms:modified xsi:type="dcterms:W3CDTF">2018-11-30T11:14:05Z</dcterms:modified>
</cp:coreProperties>
</file>